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8.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9.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drawings/drawing10.xml" ContentType="application/vnd.openxmlformats-officedocument.drawing+xml"/>
  <Override PartName="/xl/comments10.xml" ContentType="application/vnd.openxmlformats-officedocument.spreadsheetml.comments+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C:\Users\jblashaw\Desktop\"/>
    </mc:Choice>
  </mc:AlternateContent>
  <xr:revisionPtr revIDLastSave="0" documentId="8_{389CFFA7-FD90-46E2-A82A-F061737ED32F}" xr6:coauthVersionLast="36" xr6:coauthVersionMax="36" xr10:uidLastSave="{00000000-0000-0000-0000-000000000000}"/>
  <bookViews>
    <workbookView xWindow="0" yWindow="0" windowWidth="15345" windowHeight="6705" tabRatio="933" firstSheet="1" activeTab="1" xr2:uid="{00000000-000D-0000-FFFF-FFFF00000000}"/>
  </bookViews>
  <sheets>
    <sheet name="Introduction" sheetId="8" r:id="rId1"/>
    <sheet name="Tank Summary" sheetId="33" r:id="rId2"/>
    <sheet name="Example" sheetId="47" r:id="rId3"/>
    <sheet name="Tank#1" sheetId="71" r:id="rId4"/>
    <sheet name="Tank#2" sheetId="72" r:id="rId5"/>
    <sheet name="Tank#3" sheetId="73" r:id="rId6"/>
    <sheet name="Tank#4" sheetId="74" r:id="rId7"/>
    <sheet name="Tank#5" sheetId="75" r:id="rId8"/>
    <sheet name="Tank#6" sheetId="76" r:id="rId9"/>
    <sheet name="Tank#7" sheetId="78" r:id="rId10"/>
    <sheet name="Tank#8" sheetId="79" r:id="rId11"/>
    <sheet name="Tank#9" sheetId="80" r:id="rId12"/>
    <sheet name="Data Considerations" sheetId="81" r:id="rId13"/>
    <sheet name="Glossary" sheetId="54" r:id="rId14"/>
    <sheet name="ESRI_MAPINFO_SHEET" sheetId="82" state="veryHidden" r:id="rId15"/>
  </sheets>
  <definedNames>
    <definedName name="_xlnm.Print_Area" localSheetId="0">Introduction!$B$2:$R$34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7" i="47" l="1"/>
  <c r="I77" i="79"/>
  <c r="I77" i="80"/>
  <c r="I77" i="78"/>
  <c r="I77" i="76"/>
  <c r="I77" i="75"/>
  <c r="I77" i="74"/>
  <c r="I77" i="73"/>
  <c r="I77" i="72"/>
  <c r="R96" i="81" l="1"/>
  <c r="Q95" i="81"/>
  <c r="R94" i="81"/>
  <c r="Q93" i="81"/>
  <c r="R92" i="81"/>
  <c r="Q91" i="81"/>
  <c r="R90" i="81"/>
  <c r="Q89" i="81"/>
  <c r="R88" i="81"/>
  <c r="Q87" i="81"/>
  <c r="R86" i="81"/>
  <c r="Q85" i="81"/>
  <c r="R84" i="81"/>
  <c r="Q83" i="81"/>
  <c r="R82" i="81"/>
  <c r="Q81" i="81"/>
  <c r="R80" i="81"/>
  <c r="Q79" i="81"/>
  <c r="R78" i="81"/>
  <c r="Q77" i="81"/>
  <c r="R76" i="81"/>
  <c r="Q75" i="81"/>
  <c r="R74" i="81"/>
  <c r="Q73" i="81"/>
  <c r="R60" i="81"/>
  <c r="R58" i="81"/>
  <c r="R56" i="81"/>
  <c r="R54" i="81"/>
  <c r="R52" i="81"/>
  <c r="R50" i="81"/>
  <c r="Q59" i="81"/>
  <c r="Q57" i="81"/>
  <c r="Q55" i="81"/>
  <c r="Q53" i="81"/>
  <c r="Q51" i="81"/>
  <c r="Q49" i="81"/>
  <c r="G59" i="81"/>
  <c r="P60" i="81" s="1"/>
  <c r="P65" i="81"/>
  <c r="R42" i="81"/>
  <c r="Q41" i="81"/>
  <c r="R40" i="81"/>
  <c r="Q39" i="81"/>
  <c r="R38" i="81"/>
  <c r="Q37" i="81"/>
  <c r="R36" i="81"/>
  <c r="Q35" i="81"/>
  <c r="R34" i="81"/>
  <c r="Q33" i="81"/>
  <c r="R32" i="81"/>
  <c r="Q31" i="81"/>
  <c r="R30" i="81"/>
  <c r="Q29" i="81"/>
  <c r="R28" i="81"/>
  <c r="Q27" i="81"/>
  <c r="R26" i="81"/>
  <c r="Q25" i="81"/>
  <c r="R24" i="81"/>
  <c r="Q23" i="81"/>
  <c r="R22" i="81"/>
  <c r="Q21" i="81"/>
  <c r="R20" i="81"/>
  <c r="Q19" i="81"/>
  <c r="I133" i="80"/>
  <c r="H133" i="80"/>
  <c r="G133" i="80"/>
  <c r="F133" i="80"/>
  <c r="E133" i="80"/>
  <c r="I133" i="79"/>
  <c r="H133" i="79"/>
  <c r="G133" i="79"/>
  <c r="F133" i="79"/>
  <c r="E133" i="79"/>
  <c r="I133" i="78"/>
  <c r="H133" i="78"/>
  <c r="G133" i="78"/>
  <c r="F133" i="78"/>
  <c r="E133" i="78"/>
  <c r="I133" i="76"/>
  <c r="H133" i="76"/>
  <c r="G133" i="76"/>
  <c r="F133" i="76"/>
  <c r="E133" i="76"/>
  <c r="I133" i="75"/>
  <c r="H133" i="75"/>
  <c r="G133" i="75"/>
  <c r="F133" i="75"/>
  <c r="E133" i="75"/>
  <c r="I133" i="74"/>
  <c r="H133" i="74"/>
  <c r="G133" i="74"/>
  <c r="F133" i="74"/>
  <c r="E133" i="74"/>
  <c r="I133" i="73"/>
  <c r="H133" i="73"/>
  <c r="G133" i="73"/>
  <c r="F133" i="73"/>
  <c r="E133" i="73"/>
  <c r="I133" i="72"/>
  <c r="H133" i="72"/>
  <c r="G133" i="72"/>
  <c r="F133" i="72"/>
  <c r="E133" i="72"/>
  <c r="I133" i="71"/>
  <c r="H133" i="71"/>
  <c r="G133" i="71"/>
  <c r="F133" i="71"/>
  <c r="E133" i="71"/>
  <c r="I127" i="80"/>
  <c r="H127" i="80"/>
  <c r="G127" i="80"/>
  <c r="F127" i="80"/>
  <c r="E127" i="80"/>
  <c r="I127" i="79"/>
  <c r="H127" i="79"/>
  <c r="G127" i="79"/>
  <c r="F127" i="79"/>
  <c r="E127" i="79"/>
  <c r="I127" i="78"/>
  <c r="H127" i="78"/>
  <c r="G127" i="78"/>
  <c r="F127" i="78"/>
  <c r="E127" i="78"/>
  <c r="I127" i="76"/>
  <c r="H127" i="76"/>
  <c r="G127" i="76"/>
  <c r="F127" i="76"/>
  <c r="E127" i="76"/>
  <c r="I127" i="75"/>
  <c r="H127" i="75"/>
  <c r="G127" i="75"/>
  <c r="F127" i="75"/>
  <c r="E127" i="75"/>
  <c r="I127" i="74"/>
  <c r="H127" i="74"/>
  <c r="G127" i="74"/>
  <c r="F127" i="74"/>
  <c r="E127" i="74"/>
  <c r="I127" i="73"/>
  <c r="H127" i="73"/>
  <c r="G127" i="73"/>
  <c r="F127" i="73"/>
  <c r="E127" i="73"/>
  <c r="I127" i="72"/>
  <c r="H127" i="72"/>
  <c r="G127" i="72"/>
  <c r="F127" i="72"/>
  <c r="E127" i="72"/>
  <c r="I127" i="71"/>
  <c r="H127" i="71"/>
  <c r="G127" i="71"/>
  <c r="F127" i="71"/>
  <c r="E127" i="71"/>
  <c r="I133" i="47"/>
  <c r="H133" i="47"/>
  <c r="G133" i="47"/>
  <c r="F133" i="47"/>
  <c r="E133" i="47"/>
  <c r="I127" i="47"/>
  <c r="H127" i="47"/>
  <c r="G127" i="47"/>
  <c r="F127" i="47"/>
  <c r="E127" i="47"/>
  <c r="D7" i="80"/>
  <c r="E10" i="80" s="1"/>
  <c r="D8" i="80"/>
  <c r="D50" i="80" s="1"/>
  <c r="D53" i="80"/>
  <c r="B53" i="80" s="1"/>
  <c r="E53" i="80"/>
  <c r="D54" i="80"/>
  <c r="E54" i="80"/>
  <c r="D55" i="80"/>
  <c r="E55" i="80"/>
  <c r="D56" i="80"/>
  <c r="H56" i="80" s="1"/>
  <c r="E56" i="80"/>
  <c r="D57" i="80"/>
  <c r="E57" i="80"/>
  <c r="D58" i="80"/>
  <c r="E58" i="80"/>
  <c r="I58" i="80"/>
  <c r="D59" i="80"/>
  <c r="B59" i="80" s="1"/>
  <c r="E59" i="80"/>
  <c r="D60" i="80"/>
  <c r="E60" i="80"/>
  <c r="I60" i="80" s="1"/>
  <c r="D61" i="80"/>
  <c r="E61" i="80"/>
  <c r="D62" i="80"/>
  <c r="B62" i="80" s="1"/>
  <c r="E62" i="80"/>
  <c r="D63" i="80"/>
  <c r="E63" i="80"/>
  <c r="D64" i="80"/>
  <c r="H64" i="80" s="1"/>
  <c r="E64" i="80"/>
  <c r="D65" i="80"/>
  <c r="E65" i="80"/>
  <c r="D66" i="80"/>
  <c r="H66" i="80" s="1"/>
  <c r="E66" i="80"/>
  <c r="D67" i="80"/>
  <c r="E67" i="80"/>
  <c r="G19" i="80"/>
  <c r="H19" i="80" s="1"/>
  <c r="M53" i="80" s="1"/>
  <c r="G21" i="80"/>
  <c r="H21" i="80" s="1"/>
  <c r="G20" i="80"/>
  <c r="G23" i="80"/>
  <c r="G22" i="80"/>
  <c r="H22" i="80" s="1"/>
  <c r="G25" i="80"/>
  <c r="G24" i="80"/>
  <c r="H24" i="80" s="1"/>
  <c r="G27" i="80"/>
  <c r="H27" i="80" s="1"/>
  <c r="G26" i="80"/>
  <c r="G29" i="80"/>
  <c r="H29" i="80" s="1"/>
  <c r="G28" i="80"/>
  <c r="G31" i="80"/>
  <c r="H31" i="80" s="1"/>
  <c r="G30" i="80"/>
  <c r="H30" i="80" s="1"/>
  <c r="G33" i="80"/>
  <c r="H33" i="80" s="1"/>
  <c r="G32" i="80"/>
  <c r="G35" i="80"/>
  <c r="H35" i="80" s="1"/>
  <c r="G34" i="80"/>
  <c r="H34" i="80"/>
  <c r="G37" i="80"/>
  <c r="H37" i="80" s="1"/>
  <c r="M62" i="80" s="1"/>
  <c r="G36" i="80"/>
  <c r="H36" i="80" s="1"/>
  <c r="G39" i="80"/>
  <c r="H39" i="80" s="1"/>
  <c r="G38" i="80"/>
  <c r="H38" i="80" s="1"/>
  <c r="G41" i="80"/>
  <c r="H41" i="80" s="1"/>
  <c r="G40" i="80"/>
  <c r="H40" i="80" s="1"/>
  <c r="G43" i="80"/>
  <c r="H43" i="80" s="1"/>
  <c r="G42" i="80"/>
  <c r="G45" i="80"/>
  <c r="H45" i="80" s="1"/>
  <c r="G44" i="80"/>
  <c r="H44" i="80" s="1"/>
  <c r="N66" i="80" s="1"/>
  <c r="G47" i="80"/>
  <c r="H47" i="80" s="1"/>
  <c r="N67" i="80" s="1"/>
  <c r="G46" i="80"/>
  <c r="H46" i="80" s="1"/>
  <c r="D7" i="79"/>
  <c r="C10" i="79" s="1"/>
  <c r="D8" i="79"/>
  <c r="D98" i="79" s="1"/>
  <c r="I103" i="79" s="1"/>
  <c r="D53" i="79"/>
  <c r="E53" i="79"/>
  <c r="D54" i="79"/>
  <c r="B54" i="79" s="1"/>
  <c r="E54" i="79"/>
  <c r="I54" i="79" s="1"/>
  <c r="D55" i="79"/>
  <c r="I55" i="79" s="1"/>
  <c r="E55" i="79"/>
  <c r="D56" i="79"/>
  <c r="H56" i="79" s="1"/>
  <c r="E56" i="79"/>
  <c r="D57" i="79"/>
  <c r="I57" i="79" s="1"/>
  <c r="E57" i="79"/>
  <c r="D58" i="79"/>
  <c r="B58" i="79" s="1"/>
  <c r="E58" i="79"/>
  <c r="D59" i="79"/>
  <c r="E59" i="79"/>
  <c r="D60" i="79"/>
  <c r="E60" i="79"/>
  <c r="D61" i="79"/>
  <c r="E61" i="79"/>
  <c r="D62" i="79"/>
  <c r="E62" i="79"/>
  <c r="D63" i="79"/>
  <c r="E63" i="79"/>
  <c r="I63" i="79"/>
  <c r="D64" i="79"/>
  <c r="B64" i="79" s="1"/>
  <c r="E64" i="79"/>
  <c r="D65" i="79"/>
  <c r="E65" i="79"/>
  <c r="I65" i="79" s="1"/>
  <c r="D66" i="79"/>
  <c r="E66" i="79"/>
  <c r="D67" i="79"/>
  <c r="E67" i="79"/>
  <c r="G19" i="79"/>
  <c r="H19" i="79" s="1"/>
  <c r="G21" i="79"/>
  <c r="G20" i="79"/>
  <c r="H20" i="79" s="1"/>
  <c r="G23" i="79"/>
  <c r="H23" i="79" s="1"/>
  <c r="G22" i="79"/>
  <c r="H22" i="79"/>
  <c r="G25" i="79"/>
  <c r="H25" i="79" s="1"/>
  <c r="G24" i="79"/>
  <c r="H24" i="79" s="1"/>
  <c r="G27" i="79"/>
  <c r="H27" i="79" s="1"/>
  <c r="G26" i="79"/>
  <c r="G29" i="79"/>
  <c r="H29" i="79" s="1"/>
  <c r="G28" i="79"/>
  <c r="H28" i="79" s="1"/>
  <c r="G31" i="79"/>
  <c r="H31" i="79" s="1"/>
  <c r="G30" i="79"/>
  <c r="G33" i="79"/>
  <c r="H33" i="79" s="1"/>
  <c r="G32" i="79"/>
  <c r="H32" i="79"/>
  <c r="G35" i="79"/>
  <c r="G34" i="79"/>
  <c r="H34" i="79" s="1"/>
  <c r="G37" i="79"/>
  <c r="G36" i="79"/>
  <c r="G39" i="79"/>
  <c r="H39" i="79" s="1"/>
  <c r="G38" i="79"/>
  <c r="H38" i="79" s="1"/>
  <c r="G41" i="79"/>
  <c r="G40" i="79"/>
  <c r="H40" i="79"/>
  <c r="G43" i="79"/>
  <c r="H43" i="79" s="1"/>
  <c r="G42" i="79"/>
  <c r="H42" i="79"/>
  <c r="G45" i="79"/>
  <c r="G44" i="79"/>
  <c r="H44" i="79"/>
  <c r="G47" i="79"/>
  <c r="H47" i="79" s="1"/>
  <c r="G46" i="79"/>
  <c r="H46" i="79" s="1"/>
  <c r="D7" i="78"/>
  <c r="D8" i="78"/>
  <c r="D52" i="78" s="1"/>
  <c r="D53" i="78"/>
  <c r="B53" i="78" s="1"/>
  <c r="E53" i="78"/>
  <c r="D54" i="78"/>
  <c r="E54" i="78"/>
  <c r="D55" i="78"/>
  <c r="E55" i="78"/>
  <c r="I55" i="78" s="1"/>
  <c r="D56" i="78"/>
  <c r="B56" i="78" s="1"/>
  <c r="E56" i="78"/>
  <c r="D57" i="78"/>
  <c r="E57" i="78"/>
  <c r="D58" i="78"/>
  <c r="E58" i="78"/>
  <c r="D59" i="78"/>
  <c r="H59" i="78" s="1"/>
  <c r="E59" i="78"/>
  <c r="D60" i="78"/>
  <c r="H60" i="78" s="1"/>
  <c r="E60" i="78"/>
  <c r="D61" i="78"/>
  <c r="E61" i="78"/>
  <c r="I61" i="78"/>
  <c r="D62" i="78"/>
  <c r="E62" i="78"/>
  <c r="D63" i="78"/>
  <c r="E63" i="78"/>
  <c r="I63" i="78" s="1"/>
  <c r="D64" i="78"/>
  <c r="E64" i="78"/>
  <c r="D65" i="78"/>
  <c r="H65" i="78" s="1"/>
  <c r="E65" i="78"/>
  <c r="D66" i="78"/>
  <c r="E66" i="78"/>
  <c r="I66" i="78" s="1"/>
  <c r="D67" i="78"/>
  <c r="H67" i="78" s="1"/>
  <c r="E67" i="78"/>
  <c r="G19" i="78"/>
  <c r="H19" i="78" s="1"/>
  <c r="M53" i="78" s="1"/>
  <c r="G21" i="78"/>
  <c r="H21" i="78" s="1"/>
  <c r="G20" i="78"/>
  <c r="G23" i="78"/>
  <c r="H23" i="78" s="1"/>
  <c r="G22" i="78"/>
  <c r="H22" i="78" s="1"/>
  <c r="G25" i="78"/>
  <c r="G24" i="78"/>
  <c r="G27" i="78"/>
  <c r="H27" i="78"/>
  <c r="G26" i="78"/>
  <c r="G29" i="78"/>
  <c r="H29" i="78" s="1"/>
  <c r="G28" i="78"/>
  <c r="H28" i="78" s="1"/>
  <c r="G31" i="78"/>
  <c r="G30" i="78"/>
  <c r="H30" i="78" s="1"/>
  <c r="G33" i="78"/>
  <c r="H33" i="78" s="1"/>
  <c r="G32" i="78"/>
  <c r="H32" i="78" s="1"/>
  <c r="G35" i="78"/>
  <c r="G34" i="78"/>
  <c r="H34" i="78" s="1"/>
  <c r="G37" i="78"/>
  <c r="H37" i="78"/>
  <c r="G36" i="78"/>
  <c r="G39" i="78"/>
  <c r="G38" i="78"/>
  <c r="H38" i="78" s="1"/>
  <c r="G41" i="78"/>
  <c r="G40" i="78"/>
  <c r="H40" i="78" s="1"/>
  <c r="G43" i="78"/>
  <c r="H43" i="78"/>
  <c r="G42" i="78"/>
  <c r="G45" i="78"/>
  <c r="H45" i="78" s="1"/>
  <c r="G44" i="78"/>
  <c r="H44" i="78" s="1"/>
  <c r="G47" i="78"/>
  <c r="G46" i="78"/>
  <c r="H46" i="78" s="1"/>
  <c r="D7" i="76"/>
  <c r="D8" i="76"/>
  <c r="H70" i="76" s="1"/>
  <c r="D53" i="76"/>
  <c r="B53" i="76" s="1"/>
  <c r="E53" i="76"/>
  <c r="D54" i="76"/>
  <c r="E54" i="76"/>
  <c r="D55" i="76"/>
  <c r="E55" i="76"/>
  <c r="D56" i="76"/>
  <c r="B56" i="76" s="1"/>
  <c r="E56" i="76"/>
  <c r="I56" i="76"/>
  <c r="D57" i="76"/>
  <c r="B57" i="76" s="1"/>
  <c r="E57" i="76"/>
  <c r="D58" i="76"/>
  <c r="E58" i="76"/>
  <c r="I58" i="76" s="1"/>
  <c r="D59" i="76"/>
  <c r="E59" i="76"/>
  <c r="D60" i="76"/>
  <c r="E60" i="76"/>
  <c r="D61" i="76"/>
  <c r="E61" i="76"/>
  <c r="I61" i="76" s="1"/>
  <c r="D62" i="76"/>
  <c r="H62" i="76" s="1"/>
  <c r="E62" i="76"/>
  <c r="D63" i="76"/>
  <c r="E63" i="76"/>
  <c r="I63" i="76" s="1"/>
  <c r="D64" i="76"/>
  <c r="E64" i="76"/>
  <c r="D65" i="76"/>
  <c r="E65" i="76"/>
  <c r="D66" i="76"/>
  <c r="I66" i="76" s="1"/>
  <c r="E66" i="76"/>
  <c r="D67" i="76"/>
  <c r="E67" i="76"/>
  <c r="G19" i="76"/>
  <c r="H19" i="76" s="1"/>
  <c r="G21" i="76"/>
  <c r="H21" i="76" s="1"/>
  <c r="G20" i="76"/>
  <c r="H20" i="76" s="1"/>
  <c r="G23" i="76"/>
  <c r="G22" i="76"/>
  <c r="H22" i="76" s="1"/>
  <c r="G25" i="76"/>
  <c r="G24" i="76"/>
  <c r="G27" i="76"/>
  <c r="H27" i="76" s="1"/>
  <c r="G26" i="76"/>
  <c r="H26" i="76"/>
  <c r="N57" i="76" s="1"/>
  <c r="G29" i="76"/>
  <c r="G28" i="76"/>
  <c r="H28" i="76" s="1"/>
  <c r="G31" i="76"/>
  <c r="G30" i="76"/>
  <c r="H30" i="76" s="1"/>
  <c r="G33" i="76"/>
  <c r="H33" i="76" s="1"/>
  <c r="G32" i="76"/>
  <c r="H32" i="76" s="1"/>
  <c r="G35" i="76"/>
  <c r="G34" i="76"/>
  <c r="H34" i="76" s="1"/>
  <c r="G37" i="76"/>
  <c r="H37" i="76" s="1"/>
  <c r="G36" i="76"/>
  <c r="H36" i="76" s="1"/>
  <c r="G39" i="76"/>
  <c r="G38" i="76"/>
  <c r="H38" i="76" s="1"/>
  <c r="G41" i="76"/>
  <c r="G40" i="76"/>
  <c r="H40" i="76" s="1"/>
  <c r="G43" i="76"/>
  <c r="H43" i="76" s="1"/>
  <c r="G42" i="76"/>
  <c r="H42" i="76"/>
  <c r="G45" i="76"/>
  <c r="H45" i="76" s="1"/>
  <c r="G44" i="76"/>
  <c r="H44" i="76"/>
  <c r="G47" i="76"/>
  <c r="G46" i="76"/>
  <c r="H46" i="76" s="1"/>
  <c r="D7" i="75"/>
  <c r="C9" i="75" s="1"/>
  <c r="D8" i="75"/>
  <c r="I16" i="75" s="1"/>
  <c r="D7" i="74"/>
  <c r="D8" i="74"/>
  <c r="F16" i="74" s="1"/>
  <c r="D53" i="74"/>
  <c r="E53" i="74"/>
  <c r="I53" i="74"/>
  <c r="D54" i="74"/>
  <c r="E54" i="74"/>
  <c r="D55" i="74"/>
  <c r="E55" i="74"/>
  <c r="D56" i="74"/>
  <c r="E56" i="74"/>
  <c r="D57" i="74"/>
  <c r="E57" i="74"/>
  <c r="D58" i="74"/>
  <c r="B58" i="74" s="1"/>
  <c r="E58" i="74"/>
  <c r="D59" i="74"/>
  <c r="E59" i="74"/>
  <c r="I59" i="74" s="1"/>
  <c r="D60" i="74"/>
  <c r="E60" i="74"/>
  <c r="D61" i="74"/>
  <c r="E61" i="74"/>
  <c r="D62" i="74"/>
  <c r="E62" i="74"/>
  <c r="D63" i="74"/>
  <c r="I63" i="74" s="1"/>
  <c r="E63" i="74"/>
  <c r="D64" i="74"/>
  <c r="E64" i="74"/>
  <c r="I64" i="74" s="1"/>
  <c r="D65" i="74"/>
  <c r="E65" i="74"/>
  <c r="D66" i="74"/>
  <c r="E66" i="74"/>
  <c r="I66" i="74" s="1"/>
  <c r="D67" i="74"/>
  <c r="I67" i="74" s="1"/>
  <c r="E67" i="74"/>
  <c r="G19" i="74"/>
  <c r="H19" i="74" s="1"/>
  <c r="M53" i="74" s="1"/>
  <c r="G21" i="74"/>
  <c r="G20" i="74"/>
  <c r="H20" i="74" s="1"/>
  <c r="G23" i="74"/>
  <c r="H23" i="74"/>
  <c r="G22" i="74"/>
  <c r="H22" i="74" s="1"/>
  <c r="G25" i="74"/>
  <c r="H25" i="74" s="1"/>
  <c r="G24" i="74"/>
  <c r="H24" i="74" s="1"/>
  <c r="M56" i="74" s="1"/>
  <c r="G27" i="74"/>
  <c r="G26" i="74"/>
  <c r="H26" i="74" s="1"/>
  <c r="G29" i="74"/>
  <c r="H29" i="74"/>
  <c r="G28" i="74"/>
  <c r="H28" i="74" s="1"/>
  <c r="G31" i="74"/>
  <c r="H31" i="74" s="1"/>
  <c r="G30" i="74"/>
  <c r="H30" i="74" s="1"/>
  <c r="G33" i="74"/>
  <c r="H33" i="74" s="1"/>
  <c r="G32" i="74"/>
  <c r="H32" i="74"/>
  <c r="G35" i="74"/>
  <c r="G34" i="74"/>
  <c r="H34" i="74"/>
  <c r="G37" i="74"/>
  <c r="G36" i="74"/>
  <c r="H36" i="74" s="1"/>
  <c r="G39" i="74"/>
  <c r="G38" i="74"/>
  <c r="H38" i="74" s="1"/>
  <c r="G41" i="74"/>
  <c r="G40" i="74"/>
  <c r="H40" i="74" s="1"/>
  <c r="G43" i="74"/>
  <c r="G42" i="74"/>
  <c r="H42" i="74" s="1"/>
  <c r="G45" i="74"/>
  <c r="G44" i="74"/>
  <c r="H44" i="74" s="1"/>
  <c r="G47" i="74"/>
  <c r="H47" i="74"/>
  <c r="G46" i="74"/>
  <c r="H46" i="74" s="1"/>
  <c r="D7" i="73"/>
  <c r="E9" i="73" s="1"/>
  <c r="D8" i="73"/>
  <c r="D53" i="73"/>
  <c r="B53" i="73" s="1"/>
  <c r="E53" i="73"/>
  <c r="D54" i="73"/>
  <c r="E54" i="73"/>
  <c r="D55" i="73"/>
  <c r="E55" i="73"/>
  <c r="D56" i="73"/>
  <c r="E56" i="73"/>
  <c r="D57" i="73"/>
  <c r="B57" i="73" s="1"/>
  <c r="E57" i="73"/>
  <c r="D58" i="73"/>
  <c r="B58" i="73" s="1"/>
  <c r="E58" i="73"/>
  <c r="I58" i="73"/>
  <c r="D59" i="73"/>
  <c r="E59" i="73"/>
  <c r="D60" i="73"/>
  <c r="E60" i="73"/>
  <c r="D61" i="73"/>
  <c r="E61" i="73"/>
  <c r="D62" i="73"/>
  <c r="E62" i="73"/>
  <c r="D63" i="73"/>
  <c r="E63" i="73"/>
  <c r="D64" i="73"/>
  <c r="E64" i="73"/>
  <c r="D65" i="73"/>
  <c r="E65" i="73"/>
  <c r="D66" i="73"/>
  <c r="B66" i="73" s="1"/>
  <c r="E66" i="73"/>
  <c r="I66" i="73" s="1"/>
  <c r="D67" i="73"/>
  <c r="E67" i="73"/>
  <c r="G19" i="73"/>
  <c r="H19" i="73" s="1"/>
  <c r="M53" i="73" s="1"/>
  <c r="G21" i="73"/>
  <c r="G20" i="73"/>
  <c r="H20" i="73" s="1"/>
  <c r="G23" i="73"/>
  <c r="G22" i="73"/>
  <c r="H22" i="73" s="1"/>
  <c r="G25" i="73"/>
  <c r="H25" i="73"/>
  <c r="G24" i="73"/>
  <c r="H24" i="73" s="1"/>
  <c r="N56" i="73" s="1"/>
  <c r="G27" i="73"/>
  <c r="H27" i="73" s="1"/>
  <c r="G26" i="73"/>
  <c r="H26" i="73" s="1"/>
  <c r="G29" i="73"/>
  <c r="H29" i="73" s="1"/>
  <c r="G28" i="73"/>
  <c r="H28" i="73" s="1"/>
  <c r="G31" i="73"/>
  <c r="H31" i="73" s="1"/>
  <c r="G30" i="73"/>
  <c r="H30" i="73" s="1"/>
  <c r="M59" i="73" s="1"/>
  <c r="G33" i="73"/>
  <c r="H33" i="73" s="1"/>
  <c r="G32" i="73"/>
  <c r="H32" i="73" s="1"/>
  <c r="G35" i="73"/>
  <c r="H35" i="73"/>
  <c r="G34" i="73"/>
  <c r="H34" i="73" s="1"/>
  <c r="G37" i="73"/>
  <c r="G36" i="73"/>
  <c r="H36" i="73" s="1"/>
  <c r="G39" i="73"/>
  <c r="G38" i="73"/>
  <c r="H38" i="73" s="1"/>
  <c r="G41" i="73"/>
  <c r="H41" i="73"/>
  <c r="G40" i="73"/>
  <c r="H40" i="73" s="1"/>
  <c r="G43" i="73"/>
  <c r="H43" i="73" s="1"/>
  <c r="G42" i="73"/>
  <c r="H42" i="73" s="1"/>
  <c r="G45" i="73"/>
  <c r="H45" i="73" s="1"/>
  <c r="G44" i="73"/>
  <c r="H44" i="73" s="1"/>
  <c r="G47" i="73"/>
  <c r="H47" i="73" s="1"/>
  <c r="G46" i="73"/>
  <c r="H46" i="73" s="1"/>
  <c r="M67" i="73" s="1"/>
  <c r="D7" i="72"/>
  <c r="D8" i="72"/>
  <c r="E17" i="72" s="1"/>
  <c r="D53" i="72"/>
  <c r="B53" i="72" s="1"/>
  <c r="E53" i="72"/>
  <c r="D54" i="72"/>
  <c r="E54" i="72"/>
  <c r="D55" i="72"/>
  <c r="E55" i="72"/>
  <c r="D56" i="72"/>
  <c r="E56" i="72"/>
  <c r="D57" i="72"/>
  <c r="E57" i="72"/>
  <c r="I57" i="72" s="1"/>
  <c r="D58" i="72"/>
  <c r="I58" i="72" s="1"/>
  <c r="E58" i="72"/>
  <c r="D59" i="72"/>
  <c r="B59" i="72" s="1"/>
  <c r="E59" i="72"/>
  <c r="D60" i="72"/>
  <c r="B60" i="72" s="1"/>
  <c r="E60" i="72"/>
  <c r="D61" i="72"/>
  <c r="B61" i="72" s="1"/>
  <c r="E61" i="72"/>
  <c r="D62" i="72"/>
  <c r="E62" i="72"/>
  <c r="I62" i="72" s="1"/>
  <c r="D63" i="72"/>
  <c r="B63" i="72" s="1"/>
  <c r="E63" i="72"/>
  <c r="D64" i="72"/>
  <c r="E64" i="72"/>
  <c r="D65" i="72"/>
  <c r="E65" i="72"/>
  <c r="D66" i="72"/>
  <c r="E66" i="72"/>
  <c r="D67" i="72"/>
  <c r="B67" i="72" s="1"/>
  <c r="E67" i="72"/>
  <c r="G19" i="72"/>
  <c r="H19" i="72"/>
  <c r="M53" i="72" s="1"/>
  <c r="G21" i="72"/>
  <c r="H21" i="72" s="1"/>
  <c r="G20" i="72"/>
  <c r="H20" i="72" s="1"/>
  <c r="G23" i="72"/>
  <c r="H23" i="72" s="1"/>
  <c r="G22" i="72"/>
  <c r="H22" i="72"/>
  <c r="M55" i="72" s="1"/>
  <c r="G25" i="72"/>
  <c r="H25" i="72" s="1"/>
  <c r="G24" i="72"/>
  <c r="H24" i="72" s="1"/>
  <c r="G27" i="72"/>
  <c r="H27" i="72" s="1"/>
  <c r="G26" i="72"/>
  <c r="H26" i="72" s="1"/>
  <c r="G29" i="72"/>
  <c r="G28" i="72"/>
  <c r="H28" i="72" s="1"/>
  <c r="G31" i="72"/>
  <c r="G30" i="72"/>
  <c r="H30" i="72" s="1"/>
  <c r="G33" i="72"/>
  <c r="H33" i="72" s="1"/>
  <c r="G32" i="72"/>
  <c r="H32" i="72"/>
  <c r="G35" i="72"/>
  <c r="H35" i="72" s="1"/>
  <c r="G34" i="72"/>
  <c r="H34" i="72" s="1"/>
  <c r="G37" i="72"/>
  <c r="H37" i="72" s="1"/>
  <c r="G36" i="72"/>
  <c r="H36" i="72" s="1"/>
  <c r="G39" i="72"/>
  <c r="H39" i="72" s="1"/>
  <c r="G38" i="72"/>
  <c r="H38" i="72"/>
  <c r="G41" i="72"/>
  <c r="H41" i="72" s="1"/>
  <c r="G40" i="72"/>
  <c r="H40" i="72" s="1"/>
  <c r="G43" i="72"/>
  <c r="H43" i="72" s="1"/>
  <c r="G42" i="72"/>
  <c r="H42" i="72" s="1"/>
  <c r="G45" i="72"/>
  <c r="G44" i="72"/>
  <c r="H44" i="72" s="1"/>
  <c r="G47" i="72"/>
  <c r="G46" i="72"/>
  <c r="H46" i="72" s="1"/>
  <c r="D7" i="71"/>
  <c r="E10" i="71" s="1"/>
  <c r="D8" i="71"/>
  <c r="F16" i="71" s="1"/>
  <c r="D53" i="71"/>
  <c r="B53" i="71" s="1"/>
  <c r="E53" i="71"/>
  <c r="D54" i="71"/>
  <c r="E54" i="71"/>
  <c r="D55" i="71"/>
  <c r="B55" i="71" s="1"/>
  <c r="E55" i="71"/>
  <c r="D56" i="71"/>
  <c r="E56" i="71"/>
  <c r="D57" i="71"/>
  <c r="H57" i="71" s="1"/>
  <c r="E57" i="71"/>
  <c r="D58" i="71"/>
  <c r="E58" i="71"/>
  <c r="D59" i="71"/>
  <c r="H59" i="71" s="1"/>
  <c r="E59" i="71"/>
  <c r="D60" i="71"/>
  <c r="E60" i="71"/>
  <c r="D61" i="71"/>
  <c r="H61" i="71" s="1"/>
  <c r="E61" i="71"/>
  <c r="D62" i="71"/>
  <c r="E62" i="71"/>
  <c r="D63" i="71"/>
  <c r="B63" i="71" s="1"/>
  <c r="E63" i="71"/>
  <c r="D64" i="71"/>
  <c r="E64" i="71"/>
  <c r="I64" i="71"/>
  <c r="D65" i="71"/>
  <c r="B65" i="71" s="1"/>
  <c r="E65" i="71"/>
  <c r="D66" i="71"/>
  <c r="E66" i="71"/>
  <c r="H67" i="71" s="1"/>
  <c r="D67" i="71"/>
  <c r="B67" i="71" s="1"/>
  <c r="E67" i="71"/>
  <c r="G19" i="71"/>
  <c r="I19" i="71" s="1"/>
  <c r="G21" i="71"/>
  <c r="G20" i="71"/>
  <c r="I20" i="71" s="1"/>
  <c r="G23" i="71"/>
  <c r="G22" i="71"/>
  <c r="G25" i="71"/>
  <c r="I25" i="71" s="1"/>
  <c r="G24" i="71"/>
  <c r="G27" i="71"/>
  <c r="G26" i="71"/>
  <c r="G29" i="71"/>
  <c r="I29" i="71" s="1"/>
  <c r="G28" i="71"/>
  <c r="I28" i="71" s="1"/>
  <c r="G31" i="71"/>
  <c r="G30" i="71"/>
  <c r="G33" i="71"/>
  <c r="I33" i="71" s="1"/>
  <c r="G32" i="71"/>
  <c r="G35" i="71"/>
  <c r="G34" i="71"/>
  <c r="G37" i="71"/>
  <c r="I37" i="71" s="1"/>
  <c r="G36" i="71"/>
  <c r="G39" i="71"/>
  <c r="G38" i="71"/>
  <c r="G41" i="71"/>
  <c r="I41" i="71" s="1"/>
  <c r="G40" i="71"/>
  <c r="G43" i="71"/>
  <c r="G42" i="71"/>
  <c r="G45" i="71"/>
  <c r="I45" i="71" s="1"/>
  <c r="G44" i="71"/>
  <c r="I44" i="71" s="1"/>
  <c r="G47" i="71"/>
  <c r="G46" i="71"/>
  <c r="D53" i="47"/>
  <c r="E53" i="47"/>
  <c r="D54" i="47"/>
  <c r="E54" i="47"/>
  <c r="D55" i="47"/>
  <c r="B55" i="47" s="1"/>
  <c r="E55" i="47"/>
  <c r="D56" i="47"/>
  <c r="E56" i="47"/>
  <c r="D57" i="47"/>
  <c r="B57" i="47" s="1"/>
  <c r="E57" i="47"/>
  <c r="D58" i="47"/>
  <c r="E58" i="47"/>
  <c r="D59" i="47"/>
  <c r="E59" i="47"/>
  <c r="D60" i="47"/>
  <c r="E60" i="47"/>
  <c r="D61" i="47"/>
  <c r="B61" i="47" s="1"/>
  <c r="E61" i="47"/>
  <c r="D62" i="47"/>
  <c r="E62" i="47"/>
  <c r="D63" i="47"/>
  <c r="B63" i="47" s="1"/>
  <c r="E63" i="47"/>
  <c r="D64" i="47"/>
  <c r="E64" i="47"/>
  <c r="D65" i="47"/>
  <c r="B65" i="47" s="1"/>
  <c r="E65" i="47"/>
  <c r="D66" i="47"/>
  <c r="E66" i="47"/>
  <c r="D67" i="47"/>
  <c r="B67" i="47" s="1"/>
  <c r="E67" i="47"/>
  <c r="D7" i="47"/>
  <c r="D8" i="47"/>
  <c r="H74" i="47" s="1"/>
  <c r="G19" i="47"/>
  <c r="G21" i="47"/>
  <c r="G20" i="47"/>
  <c r="G23" i="47"/>
  <c r="G22" i="47"/>
  <c r="G25" i="47"/>
  <c r="G24" i="47"/>
  <c r="I24" i="47" s="1"/>
  <c r="G27" i="47"/>
  <c r="G26" i="47"/>
  <c r="I26" i="47" s="1"/>
  <c r="G29" i="47"/>
  <c r="G28" i="47"/>
  <c r="G31" i="47"/>
  <c r="G30" i="47"/>
  <c r="I30" i="47" s="1"/>
  <c r="G33" i="47"/>
  <c r="G32" i="47"/>
  <c r="I32" i="47" s="1"/>
  <c r="G35" i="47"/>
  <c r="G34" i="47"/>
  <c r="I34" i="47" s="1"/>
  <c r="G37" i="47"/>
  <c r="G36" i="47"/>
  <c r="G39" i="47"/>
  <c r="G38" i="47"/>
  <c r="G41" i="47"/>
  <c r="G40" i="47"/>
  <c r="I40" i="47" s="1"/>
  <c r="G43" i="47"/>
  <c r="G42" i="47"/>
  <c r="I42" i="47" s="1"/>
  <c r="G45" i="47"/>
  <c r="G44" i="47"/>
  <c r="I44" i="47" s="1"/>
  <c r="G47" i="47"/>
  <c r="G46" i="47"/>
  <c r="I46" i="47" s="1"/>
  <c r="B54" i="80"/>
  <c r="B58" i="80"/>
  <c r="B60" i="80"/>
  <c r="B61" i="80"/>
  <c r="B63" i="80"/>
  <c r="B65" i="80"/>
  <c r="D10" i="80"/>
  <c r="G101" i="80" s="1"/>
  <c r="D13" i="80"/>
  <c r="D96" i="80" s="1"/>
  <c r="T25" i="33"/>
  <c r="T31" i="33" s="1"/>
  <c r="T24" i="33"/>
  <c r="T30" i="33" s="1"/>
  <c r="D10" i="79"/>
  <c r="F101" i="79" s="1"/>
  <c r="G18" i="79"/>
  <c r="I18" i="79" s="1"/>
  <c r="S24" i="33"/>
  <c r="S30" i="33" s="1"/>
  <c r="R24" i="33"/>
  <c r="R30" i="33" s="1"/>
  <c r="Q24" i="33"/>
  <c r="Q30" i="33" s="1"/>
  <c r="P24" i="33"/>
  <c r="P30" i="33" s="1"/>
  <c r="D10" i="74"/>
  <c r="K67" i="74" s="1"/>
  <c r="O24" i="33"/>
  <c r="O30" i="33" s="1"/>
  <c r="D10" i="73"/>
  <c r="I101" i="73" s="1"/>
  <c r="D11" i="73"/>
  <c r="D95" i="73" s="1"/>
  <c r="N24" i="33"/>
  <c r="N30" i="33" s="1"/>
  <c r="D10" i="72"/>
  <c r="G101" i="72" s="1"/>
  <c r="M24" i="33"/>
  <c r="M30" i="33" s="1"/>
  <c r="D10" i="71"/>
  <c r="H101" i="71" s="1"/>
  <c r="L24" i="33"/>
  <c r="D10" i="47"/>
  <c r="D94" i="47" s="1"/>
  <c r="F94" i="47" s="1"/>
  <c r="K24" i="33"/>
  <c r="B57" i="79"/>
  <c r="B61" i="79"/>
  <c r="B65" i="79"/>
  <c r="B66" i="79"/>
  <c r="D13" i="79"/>
  <c r="D96" i="79" s="1"/>
  <c r="S25" i="33"/>
  <c r="S31" i="33" s="1"/>
  <c r="B55" i="78"/>
  <c r="B57" i="78"/>
  <c r="B60" i="78"/>
  <c r="B61" i="78"/>
  <c r="B63" i="78"/>
  <c r="B64" i="78"/>
  <c r="B66" i="78"/>
  <c r="D10" i="78"/>
  <c r="K66" i="78" s="1"/>
  <c r="D13" i="78"/>
  <c r="D96" i="78" s="1"/>
  <c r="R25" i="33"/>
  <c r="R31" i="33" s="1"/>
  <c r="Q25" i="33"/>
  <c r="Q31" i="33" s="1"/>
  <c r="B54" i="76"/>
  <c r="B58" i="76"/>
  <c r="B59" i="76"/>
  <c r="B61" i="76"/>
  <c r="B63" i="76"/>
  <c r="B65" i="76"/>
  <c r="B66" i="76"/>
  <c r="D10" i="76"/>
  <c r="H101" i="76" s="1"/>
  <c r="D13" i="76"/>
  <c r="D96" i="76" s="1"/>
  <c r="P25" i="33"/>
  <c r="P31" i="33" s="1"/>
  <c r="B53" i="74"/>
  <c r="B54" i="74"/>
  <c r="B56" i="74"/>
  <c r="B57" i="74"/>
  <c r="B60" i="74"/>
  <c r="B62" i="74"/>
  <c r="B64" i="74"/>
  <c r="B66" i="74"/>
  <c r="D13" i="74"/>
  <c r="D96" i="74" s="1"/>
  <c r="O25" i="33"/>
  <c r="O31" i="33" s="1"/>
  <c r="B55" i="73"/>
  <c r="B56" i="73"/>
  <c r="B59" i="73"/>
  <c r="B60" i="73"/>
  <c r="B61" i="73"/>
  <c r="B63" i="73"/>
  <c r="B65" i="73"/>
  <c r="B67" i="73"/>
  <c r="D13" i="73"/>
  <c r="D96" i="73" s="1"/>
  <c r="N25" i="33"/>
  <c r="N31" i="33" s="1"/>
  <c r="B55" i="72"/>
  <c r="B57" i="72"/>
  <c r="B58" i="72"/>
  <c r="B62" i="72"/>
  <c r="B65" i="72"/>
  <c r="B66" i="72"/>
  <c r="D13" i="72"/>
  <c r="D96" i="72" s="1"/>
  <c r="F57" i="72"/>
  <c r="M25" i="33"/>
  <c r="M31" i="33" s="1"/>
  <c r="B56" i="71"/>
  <c r="B64" i="71"/>
  <c r="D13" i="71"/>
  <c r="D96" i="71" s="1"/>
  <c r="L25" i="33"/>
  <c r="B53" i="47"/>
  <c r="K53" i="47"/>
  <c r="D13" i="47"/>
  <c r="D96" i="47" s="1"/>
  <c r="K25" i="33"/>
  <c r="T21" i="33"/>
  <c r="D12" i="80" s="1"/>
  <c r="D11" i="80"/>
  <c r="D95" i="80" s="1"/>
  <c r="D9" i="80"/>
  <c r="J98" i="80" s="1"/>
  <c r="D6" i="80"/>
  <c r="D5" i="80"/>
  <c r="S21" i="33"/>
  <c r="D12" i="79" s="1"/>
  <c r="D11" i="79"/>
  <c r="D95" i="79" s="1"/>
  <c r="E95" i="79" s="1"/>
  <c r="D9" i="79"/>
  <c r="J98" i="79" s="1"/>
  <c r="D6" i="79"/>
  <c r="D5" i="79"/>
  <c r="R21" i="33"/>
  <c r="D12" i="78" s="1"/>
  <c r="G18" i="80"/>
  <c r="I18" i="80"/>
  <c r="I19" i="80"/>
  <c r="I21" i="80"/>
  <c r="I22" i="80"/>
  <c r="I24" i="80"/>
  <c r="I27" i="80"/>
  <c r="I29" i="80"/>
  <c r="I30" i="80"/>
  <c r="I31" i="80"/>
  <c r="I33" i="80"/>
  <c r="I34" i="80"/>
  <c r="I35" i="80"/>
  <c r="I36" i="80"/>
  <c r="I37" i="80"/>
  <c r="I38" i="80"/>
  <c r="I39" i="80"/>
  <c r="I40" i="80"/>
  <c r="I41" i="80"/>
  <c r="I44" i="80"/>
  <c r="I45" i="80"/>
  <c r="I46" i="80"/>
  <c r="H58" i="80"/>
  <c r="H59" i="80"/>
  <c r="H60" i="80"/>
  <c r="H61" i="80"/>
  <c r="H63" i="80"/>
  <c r="H65" i="80"/>
  <c r="C123" i="80"/>
  <c r="E123" i="80"/>
  <c r="F123" i="80"/>
  <c r="G123" i="80"/>
  <c r="H123" i="80"/>
  <c r="I123" i="80"/>
  <c r="J123" i="80"/>
  <c r="C124" i="80"/>
  <c r="E124" i="80"/>
  <c r="F124" i="80"/>
  <c r="G124" i="80"/>
  <c r="H124" i="80"/>
  <c r="I124" i="80"/>
  <c r="J124" i="80"/>
  <c r="C11" i="79"/>
  <c r="I19" i="79"/>
  <c r="I20" i="79"/>
  <c r="I22" i="79"/>
  <c r="I23" i="79"/>
  <c r="I24" i="79"/>
  <c r="I25" i="79"/>
  <c r="I27" i="79"/>
  <c r="I28" i="79"/>
  <c r="I29" i="79"/>
  <c r="I31" i="79"/>
  <c r="I32" i="79"/>
  <c r="I33" i="79"/>
  <c r="I34" i="79"/>
  <c r="I38" i="79"/>
  <c r="I40" i="79"/>
  <c r="I42" i="79"/>
  <c r="I43" i="79"/>
  <c r="I44" i="79"/>
  <c r="I46" i="79"/>
  <c r="I47" i="79"/>
  <c r="E52" i="79"/>
  <c r="H54" i="79"/>
  <c r="H57" i="79"/>
  <c r="H58" i="79"/>
  <c r="H61" i="79"/>
  <c r="H64" i="79"/>
  <c r="H65" i="79"/>
  <c r="H66" i="79"/>
  <c r="I99" i="79"/>
  <c r="C123" i="79"/>
  <c r="E123" i="79"/>
  <c r="F123" i="79"/>
  <c r="G123" i="79"/>
  <c r="H123" i="79"/>
  <c r="I123" i="79"/>
  <c r="J123" i="79"/>
  <c r="C124" i="79"/>
  <c r="E124" i="79"/>
  <c r="F124" i="79"/>
  <c r="G124" i="79"/>
  <c r="H124" i="79"/>
  <c r="I124" i="79"/>
  <c r="J124" i="79"/>
  <c r="D6" i="78"/>
  <c r="K60" i="78"/>
  <c r="D11" i="78"/>
  <c r="D95" i="78" s="1"/>
  <c r="I95" i="78" s="1"/>
  <c r="D9" i="78"/>
  <c r="J98" i="78" s="1"/>
  <c r="D5" i="78"/>
  <c r="Q21" i="33"/>
  <c r="D12" i="76" s="1"/>
  <c r="G18" i="78"/>
  <c r="I18" i="78" s="1"/>
  <c r="I21" i="78"/>
  <c r="I22" i="78"/>
  <c r="I23" i="78"/>
  <c r="I27" i="78"/>
  <c r="I28" i="78"/>
  <c r="I29" i="78"/>
  <c r="I30" i="78"/>
  <c r="I32" i="78"/>
  <c r="I33" i="78"/>
  <c r="I34" i="78"/>
  <c r="I37" i="78"/>
  <c r="I38" i="78"/>
  <c r="I40" i="78"/>
  <c r="I43" i="78"/>
  <c r="I44" i="78"/>
  <c r="I45" i="78"/>
  <c r="H55" i="78"/>
  <c r="H56" i="78"/>
  <c r="H61" i="78"/>
  <c r="H63" i="78"/>
  <c r="H64" i="78"/>
  <c r="H66" i="78"/>
  <c r="C98" i="78"/>
  <c r="C123" i="78"/>
  <c r="E123" i="78"/>
  <c r="F123" i="78"/>
  <c r="G123" i="78"/>
  <c r="H123" i="78"/>
  <c r="I123" i="78"/>
  <c r="J123" i="78"/>
  <c r="C124" i="78"/>
  <c r="E124" i="78"/>
  <c r="F124" i="78"/>
  <c r="G124" i="78"/>
  <c r="H124" i="78"/>
  <c r="I124" i="78"/>
  <c r="J124" i="78"/>
  <c r="F101" i="47"/>
  <c r="H101" i="47"/>
  <c r="E101" i="72"/>
  <c r="D10" i="75"/>
  <c r="E101" i="75" s="1"/>
  <c r="E54" i="75"/>
  <c r="E55" i="75"/>
  <c r="E56" i="75"/>
  <c r="E57" i="75"/>
  <c r="E58" i="75"/>
  <c r="E59" i="75"/>
  <c r="E60" i="75"/>
  <c r="E61" i="75"/>
  <c r="E62" i="75"/>
  <c r="E63" i="75"/>
  <c r="E64" i="75"/>
  <c r="E65" i="75"/>
  <c r="E66" i="75"/>
  <c r="E67" i="75"/>
  <c r="E53" i="75"/>
  <c r="D53" i="75"/>
  <c r="B53" i="75" s="1"/>
  <c r="D54" i="75"/>
  <c r="I54" i="75"/>
  <c r="B54" i="75"/>
  <c r="D55" i="75"/>
  <c r="B55" i="75" s="1"/>
  <c r="D56" i="75"/>
  <c r="D57" i="75"/>
  <c r="D58" i="75"/>
  <c r="B58" i="75" s="1"/>
  <c r="D59" i="75"/>
  <c r="B59" i="75" s="1"/>
  <c r="D60" i="75"/>
  <c r="B60" i="75" s="1"/>
  <c r="D61" i="75"/>
  <c r="D62" i="75"/>
  <c r="B62" i="75" s="1"/>
  <c r="D63" i="75"/>
  <c r="B63" i="75" s="1"/>
  <c r="D64" i="75"/>
  <c r="B64" i="75" s="1"/>
  <c r="D65" i="75"/>
  <c r="D66" i="75"/>
  <c r="B66" i="75" s="1"/>
  <c r="D67" i="75"/>
  <c r="B67" i="75" s="1"/>
  <c r="D13" i="75"/>
  <c r="D96" i="75" s="1"/>
  <c r="D9" i="76"/>
  <c r="J98" i="76" s="1"/>
  <c r="D11" i="76"/>
  <c r="D95" i="76" s="1"/>
  <c r="G95" i="76" s="1"/>
  <c r="D6" i="76"/>
  <c r="D5" i="76"/>
  <c r="P21" i="33"/>
  <c r="D12" i="75" s="1"/>
  <c r="D11" i="75"/>
  <c r="D95" i="75" s="1"/>
  <c r="E95" i="75" s="1"/>
  <c r="D9" i="75"/>
  <c r="D6" i="75"/>
  <c r="D5" i="75"/>
  <c r="O21" i="33"/>
  <c r="D12" i="74" s="1"/>
  <c r="D11" i="74"/>
  <c r="D95" i="74" s="1"/>
  <c r="G95" i="74" s="1"/>
  <c r="D9" i="74"/>
  <c r="D6" i="74"/>
  <c r="D5" i="74"/>
  <c r="N21" i="33"/>
  <c r="D12" i="73" s="1"/>
  <c r="D9" i="73"/>
  <c r="D6" i="73"/>
  <c r="D5" i="73"/>
  <c r="K21" i="33"/>
  <c r="D12" i="47" s="1"/>
  <c r="E9" i="76"/>
  <c r="C12" i="76"/>
  <c r="E17" i="76"/>
  <c r="I17" i="76"/>
  <c r="G18" i="76"/>
  <c r="I18" i="76" s="1"/>
  <c r="I19" i="76"/>
  <c r="I20" i="76"/>
  <c r="I21" i="76"/>
  <c r="I22" i="76"/>
  <c r="I26" i="76"/>
  <c r="I27" i="76"/>
  <c r="I28" i="76"/>
  <c r="I30" i="76"/>
  <c r="I32" i="76"/>
  <c r="I33" i="76"/>
  <c r="I34" i="76"/>
  <c r="I36" i="76"/>
  <c r="I37" i="76"/>
  <c r="I38" i="76"/>
  <c r="I40" i="76"/>
  <c r="I42" i="76"/>
  <c r="I43" i="76"/>
  <c r="I44" i="76"/>
  <c r="I45" i="76"/>
  <c r="I46" i="76"/>
  <c r="D52" i="76"/>
  <c r="H54" i="76"/>
  <c r="H56" i="76"/>
  <c r="H57" i="76"/>
  <c r="H58" i="76"/>
  <c r="H59" i="76"/>
  <c r="H61" i="76"/>
  <c r="H63" i="76"/>
  <c r="H65" i="76"/>
  <c r="H66" i="76"/>
  <c r="K73" i="76"/>
  <c r="H74" i="76"/>
  <c r="C95" i="76"/>
  <c r="J95" i="76"/>
  <c r="C98" i="76"/>
  <c r="E99" i="76"/>
  <c r="I99" i="76"/>
  <c r="G100" i="76"/>
  <c r="C102" i="76"/>
  <c r="J103" i="76"/>
  <c r="H106" i="76"/>
  <c r="E111" i="76"/>
  <c r="I111" i="76"/>
  <c r="C123" i="76"/>
  <c r="E123" i="76"/>
  <c r="F123" i="76"/>
  <c r="G123" i="76"/>
  <c r="H123" i="76"/>
  <c r="I123" i="76"/>
  <c r="J123" i="76"/>
  <c r="C124" i="76"/>
  <c r="E124" i="76"/>
  <c r="F124" i="76"/>
  <c r="G124" i="76"/>
  <c r="H124" i="76"/>
  <c r="I124" i="76"/>
  <c r="J124" i="76"/>
  <c r="H128" i="76"/>
  <c r="G129" i="76"/>
  <c r="C10" i="75"/>
  <c r="E10" i="75"/>
  <c r="C12" i="75"/>
  <c r="G18" i="75"/>
  <c r="I18" i="75" s="1"/>
  <c r="G19" i="75"/>
  <c r="H19" i="75" s="1"/>
  <c r="M53" i="75" s="1"/>
  <c r="G20" i="75"/>
  <c r="I20" i="75" s="1"/>
  <c r="H20" i="75"/>
  <c r="G21" i="75"/>
  <c r="G22" i="75"/>
  <c r="H22" i="75" s="1"/>
  <c r="I22" i="75"/>
  <c r="G23" i="75"/>
  <c r="H23" i="75" s="1"/>
  <c r="N55" i="75" s="1"/>
  <c r="G24" i="75"/>
  <c r="H24" i="75" s="1"/>
  <c r="G25" i="75"/>
  <c r="H25" i="75" s="1"/>
  <c r="N56" i="75" s="1"/>
  <c r="G26" i="75"/>
  <c r="H26" i="75" s="1"/>
  <c r="I26" i="75"/>
  <c r="G27" i="75"/>
  <c r="H27" i="75" s="1"/>
  <c r="N57" i="75" s="1"/>
  <c r="G28" i="75"/>
  <c r="H28" i="75" s="1"/>
  <c r="I28" i="75"/>
  <c r="G29" i="75"/>
  <c r="G30" i="75"/>
  <c r="H30" i="75" s="1"/>
  <c r="M59" i="75" s="1"/>
  <c r="I30" i="75"/>
  <c r="G31" i="75"/>
  <c r="H31" i="75" s="1"/>
  <c r="G32" i="75"/>
  <c r="H32" i="75" s="1"/>
  <c r="I32" i="75"/>
  <c r="G33" i="75"/>
  <c r="G34" i="75"/>
  <c r="I34" i="75" s="1"/>
  <c r="H34" i="75"/>
  <c r="G35" i="75"/>
  <c r="H35" i="75" s="1"/>
  <c r="N61" i="75" s="1"/>
  <c r="G36" i="75"/>
  <c r="I36" i="75" s="1"/>
  <c r="G37" i="75"/>
  <c r="H37" i="75" s="1"/>
  <c r="I37" i="75"/>
  <c r="G38" i="75"/>
  <c r="H38" i="75" s="1"/>
  <c r="G39" i="75"/>
  <c r="H39" i="75" s="1"/>
  <c r="N63" i="75" s="1"/>
  <c r="G40" i="75"/>
  <c r="H40" i="75" s="1"/>
  <c r="G41" i="75"/>
  <c r="H41" i="75" s="1"/>
  <c r="G42" i="75"/>
  <c r="I42" i="75" s="1"/>
  <c r="G43" i="75"/>
  <c r="H43" i="75" s="1"/>
  <c r="G44" i="75"/>
  <c r="I44" i="75" s="1"/>
  <c r="H44" i="75"/>
  <c r="G45" i="75"/>
  <c r="H45" i="75" s="1"/>
  <c r="G46" i="75"/>
  <c r="I46" i="75" s="1"/>
  <c r="H46" i="75"/>
  <c r="G47" i="75"/>
  <c r="H47" i="75" s="1"/>
  <c r="H54" i="75"/>
  <c r="H62" i="75"/>
  <c r="C95" i="75"/>
  <c r="J98" i="75"/>
  <c r="E99" i="75"/>
  <c r="F99" i="75"/>
  <c r="I99" i="75"/>
  <c r="C100" i="75"/>
  <c r="C123" i="75"/>
  <c r="E123" i="75"/>
  <c r="F123" i="75"/>
  <c r="G123" i="75"/>
  <c r="H123" i="75"/>
  <c r="I123" i="75"/>
  <c r="J123" i="75"/>
  <c r="C124" i="75"/>
  <c r="E124" i="75"/>
  <c r="F124" i="75"/>
  <c r="G124" i="75"/>
  <c r="H124" i="75"/>
  <c r="I124" i="75"/>
  <c r="J124" i="75"/>
  <c r="C9" i="74"/>
  <c r="E10" i="74"/>
  <c r="C11" i="74"/>
  <c r="I16" i="74"/>
  <c r="E17" i="74"/>
  <c r="G18" i="74"/>
  <c r="I18" i="74" s="1"/>
  <c r="I19" i="74"/>
  <c r="I20" i="74"/>
  <c r="I22" i="74"/>
  <c r="I23" i="74"/>
  <c r="I25" i="74"/>
  <c r="I26" i="74"/>
  <c r="I28" i="74"/>
  <c r="I29" i="74"/>
  <c r="I31" i="74"/>
  <c r="I32" i="74"/>
  <c r="I33" i="74"/>
  <c r="I34" i="74"/>
  <c r="I36" i="74"/>
  <c r="I40" i="74"/>
  <c r="I42" i="74"/>
  <c r="I44" i="74"/>
  <c r="I46" i="74"/>
  <c r="I47" i="74"/>
  <c r="E50" i="74"/>
  <c r="D52" i="74"/>
  <c r="H54" i="74"/>
  <c r="H56" i="74"/>
  <c r="H57" i="74"/>
  <c r="H58" i="74"/>
  <c r="H60" i="74"/>
  <c r="H62" i="74"/>
  <c r="H64" i="74"/>
  <c r="H66" i="74"/>
  <c r="K70" i="74"/>
  <c r="H73" i="74"/>
  <c r="K74" i="74"/>
  <c r="J94" i="74"/>
  <c r="C95" i="74"/>
  <c r="C97" i="74"/>
  <c r="J98" i="74"/>
  <c r="C99" i="74"/>
  <c r="F99" i="74"/>
  <c r="G99" i="74"/>
  <c r="C100" i="74"/>
  <c r="E100" i="74"/>
  <c r="C102" i="74"/>
  <c r="E102" i="74"/>
  <c r="J102" i="74"/>
  <c r="C103" i="74"/>
  <c r="H106" i="74"/>
  <c r="H130" i="74" s="1"/>
  <c r="I106" i="74"/>
  <c r="F108" i="74"/>
  <c r="G108" i="74"/>
  <c r="I111" i="74"/>
  <c r="C123" i="74"/>
  <c r="E123" i="74"/>
  <c r="F123" i="74"/>
  <c r="G123" i="74"/>
  <c r="H123" i="74"/>
  <c r="I123" i="74"/>
  <c r="J123" i="74"/>
  <c r="C124" i="74"/>
  <c r="E124" i="74"/>
  <c r="F124" i="74"/>
  <c r="G124" i="74"/>
  <c r="H124" i="74"/>
  <c r="I124" i="74"/>
  <c r="J124" i="74"/>
  <c r="H128" i="74"/>
  <c r="I128" i="74"/>
  <c r="G129" i="74"/>
  <c r="H129" i="74"/>
  <c r="M21" i="33"/>
  <c r="D12" i="72" s="1"/>
  <c r="D11" i="72"/>
  <c r="D95" i="72" s="1"/>
  <c r="D9" i="72"/>
  <c r="D6" i="72"/>
  <c r="D5" i="72"/>
  <c r="L21" i="33"/>
  <c r="D12" i="71" s="1"/>
  <c r="D11" i="71"/>
  <c r="D95" i="71" s="1"/>
  <c r="D9" i="71"/>
  <c r="D6" i="71"/>
  <c r="D5" i="71"/>
  <c r="F16" i="73"/>
  <c r="I17" i="73"/>
  <c r="G18" i="73"/>
  <c r="I18" i="73" s="1"/>
  <c r="I19" i="73"/>
  <c r="I20" i="73"/>
  <c r="I22" i="73"/>
  <c r="I25" i="73"/>
  <c r="I27" i="73"/>
  <c r="I29" i="73"/>
  <c r="I31" i="73"/>
  <c r="I32" i="73"/>
  <c r="I33" i="73"/>
  <c r="I34" i="73"/>
  <c r="I35" i="73"/>
  <c r="I36" i="73"/>
  <c r="I38" i="73"/>
  <c r="I40" i="73"/>
  <c r="I41" i="73"/>
  <c r="I42" i="73"/>
  <c r="I43" i="73"/>
  <c r="I44" i="73"/>
  <c r="I45" i="73"/>
  <c r="I46" i="73"/>
  <c r="D52" i="73"/>
  <c r="H54" i="73"/>
  <c r="H55" i="73"/>
  <c r="H56" i="73"/>
  <c r="H57" i="73"/>
  <c r="H58" i="73"/>
  <c r="H59" i="73"/>
  <c r="H60" i="73"/>
  <c r="H61" i="73"/>
  <c r="H63" i="73"/>
  <c r="H64" i="73"/>
  <c r="H65" i="73"/>
  <c r="H66" i="73"/>
  <c r="H67" i="73"/>
  <c r="H70" i="73"/>
  <c r="H74" i="73"/>
  <c r="J94" i="73"/>
  <c r="J97" i="73"/>
  <c r="I99" i="73"/>
  <c r="C123" i="73"/>
  <c r="E123" i="73"/>
  <c r="F123" i="73"/>
  <c r="G123" i="73"/>
  <c r="H123" i="73"/>
  <c r="I123" i="73"/>
  <c r="J123" i="73"/>
  <c r="C124" i="73"/>
  <c r="E124" i="73"/>
  <c r="F124" i="73"/>
  <c r="G124" i="73"/>
  <c r="H124" i="73"/>
  <c r="I124" i="73"/>
  <c r="J124" i="73"/>
  <c r="C9" i="72"/>
  <c r="E9" i="72"/>
  <c r="C10" i="72"/>
  <c r="E10" i="72"/>
  <c r="C11" i="72"/>
  <c r="C12" i="72"/>
  <c r="I17" i="72"/>
  <c r="G18" i="72"/>
  <c r="I18" i="72"/>
  <c r="I19" i="72"/>
  <c r="I20" i="72"/>
  <c r="I21" i="72"/>
  <c r="I22" i="72"/>
  <c r="I23" i="72"/>
  <c r="I25" i="72"/>
  <c r="I26" i="72"/>
  <c r="I27" i="72"/>
  <c r="I28" i="72"/>
  <c r="I30" i="72"/>
  <c r="I32" i="72"/>
  <c r="I33" i="72"/>
  <c r="I35" i="72"/>
  <c r="I37" i="72"/>
  <c r="I38" i="72"/>
  <c r="I39" i="72"/>
  <c r="I40" i="72"/>
  <c r="I41" i="72"/>
  <c r="I42" i="72"/>
  <c r="I43" i="72"/>
  <c r="I44" i="72"/>
  <c r="D50" i="72"/>
  <c r="D52" i="72"/>
  <c r="H54" i="72"/>
  <c r="H55" i="72"/>
  <c r="H56" i="72"/>
  <c r="H57" i="72"/>
  <c r="H58" i="72"/>
  <c r="H60" i="72"/>
  <c r="H61" i="72"/>
  <c r="H62" i="72"/>
  <c r="H63" i="72"/>
  <c r="H64" i="72"/>
  <c r="H65" i="72"/>
  <c r="H67" i="72"/>
  <c r="H74" i="72"/>
  <c r="C94" i="72"/>
  <c r="C95" i="72"/>
  <c r="J95" i="72"/>
  <c r="J98" i="72"/>
  <c r="C99" i="72"/>
  <c r="D99" i="72"/>
  <c r="E99" i="72"/>
  <c r="F99" i="72"/>
  <c r="G99" i="72"/>
  <c r="H99" i="72"/>
  <c r="I99" i="72"/>
  <c r="C100" i="72"/>
  <c r="F100" i="72"/>
  <c r="E102" i="72"/>
  <c r="G102" i="72"/>
  <c r="J103" i="72"/>
  <c r="F106" i="72"/>
  <c r="F130" i="72" s="1"/>
  <c r="G107" i="72"/>
  <c r="G131" i="72" s="1"/>
  <c r="I107" i="72"/>
  <c r="I131" i="72" s="1"/>
  <c r="E111" i="72"/>
  <c r="G111" i="72"/>
  <c r="C123" i="72"/>
  <c r="D123" i="72"/>
  <c r="E123" i="72"/>
  <c r="F123" i="72"/>
  <c r="G123" i="72"/>
  <c r="H123" i="72"/>
  <c r="I123" i="72"/>
  <c r="J123" i="72"/>
  <c r="C124" i="72"/>
  <c r="D124" i="72"/>
  <c r="E124" i="72"/>
  <c r="F124" i="72"/>
  <c r="G124" i="72"/>
  <c r="H124" i="72"/>
  <c r="I124" i="72"/>
  <c r="J124" i="72"/>
  <c r="G128" i="72"/>
  <c r="I128" i="72"/>
  <c r="C9" i="71"/>
  <c r="E9" i="71"/>
  <c r="C11" i="71"/>
  <c r="E11" i="71"/>
  <c r="E16" i="71"/>
  <c r="G18" i="71"/>
  <c r="I18" i="71" s="1"/>
  <c r="I23" i="71"/>
  <c r="I24" i="71"/>
  <c r="I27" i="71"/>
  <c r="I31" i="71"/>
  <c r="I35" i="71"/>
  <c r="I39" i="71"/>
  <c r="I43" i="71"/>
  <c r="I47" i="71"/>
  <c r="D52" i="71"/>
  <c r="H56" i="71"/>
  <c r="H70" i="71"/>
  <c r="K70" i="71"/>
  <c r="C94" i="71"/>
  <c r="D94" i="71"/>
  <c r="E94" i="71" s="1"/>
  <c r="E99" i="71" s="1"/>
  <c r="J97" i="71"/>
  <c r="C98" i="71"/>
  <c r="C123" i="71"/>
  <c r="E123" i="71"/>
  <c r="F123" i="71"/>
  <c r="G123" i="71"/>
  <c r="H123" i="71"/>
  <c r="I123" i="71"/>
  <c r="J123" i="71"/>
  <c r="C124" i="71"/>
  <c r="E124" i="71"/>
  <c r="F124" i="71"/>
  <c r="G124" i="71"/>
  <c r="H124" i="71"/>
  <c r="I124" i="71"/>
  <c r="J124" i="71"/>
  <c r="H129" i="71"/>
  <c r="G18" i="47"/>
  <c r="I18" i="47" s="1"/>
  <c r="I100" i="47"/>
  <c r="D6" i="47"/>
  <c r="F123" i="47"/>
  <c r="G123" i="47"/>
  <c r="H123" i="47"/>
  <c r="I123" i="47"/>
  <c r="F124" i="47"/>
  <c r="G124" i="47"/>
  <c r="H124" i="47"/>
  <c r="I124" i="47"/>
  <c r="E124" i="47"/>
  <c r="E123" i="47"/>
  <c r="J124" i="47"/>
  <c r="C124" i="47"/>
  <c r="J123" i="47"/>
  <c r="C123" i="47"/>
  <c r="D11" i="47"/>
  <c r="D95" i="47" s="1"/>
  <c r="K73" i="47"/>
  <c r="D9" i="47"/>
  <c r="D5" i="47"/>
  <c r="I21" i="47"/>
  <c r="I23" i="47"/>
  <c r="I25" i="47"/>
  <c r="I27" i="47"/>
  <c r="I29" i="47"/>
  <c r="I31" i="47"/>
  <c r="I33" i="47"/>
  <c r="I35" i="47"/>
  <c r="I37" i="47"/>
  <c r="I39" i="47"/>
  <c r="I41" i="47"/>
  <c r="I43" i="47"/>
  <c r="I45" i="47"/>
  <c r="I47" i="47"/>
  <c r="H24" i="47"/>
  <c r="H21" i="47"/>
  <c r="M67" i="75"/>
  <c r="N53" i="75"/>
  <c r="K62" i="76"/>
  <c r="K60" i="76"/>
  <c r="N64" i="72"/>
  <c r="N62" i="72"/>
  <c r="M60" i="72"/>
  <c r="N60" i="72"/>
  <c r="M54" i="72"/>
  <c r="N54" i="72"/>
  <c r="M66" i="73"/>
  <c r="N66" i="73"/>
  <c r="N64" i="73"/>
  <c r="M58" i="73"/>
  <c r="N63" i="72"/>
  <c r="N57" i="72"/>
  <c r="N55" i="72"/>
  <c r="N53" i="72"/>
  <c r="G63" i="72"/>
  <c r="G61" i="72"/>
  <c r="G55" i="72"/>
  <c r="N65" i="73"/>
  <c r="N53" i="73"/>
  <c r="N53" i="74"/>
  <c r="G59" i="74"/>
  <c r="N62" i="76"/>
  <c r="N54" i="76"/>
  <c r="G58" i="76"/>
  <c r="N66" i="78"/>
  <c r="N58" i="78"/>
  <c r="M55" i="78"/>
  <c r="N55" i="78"/>
  <c r="G66" i="78"/>
  <c r="M65" i="79"/>
  <c r="N65" i="79"/>
  <c r="M56" i="79"/>
  <c r="N56" i="79"/>
  <c r="N56" i="74"/>
  <c r="G56" i="74"/>
  <c r="G58" i="74"/>
  <c r="G64" i="74"/>
  <c r="G66" i="74"/>
  <c r="M65" i="76"/>
  <c r="M53" i="76"/>
  <c r="N53" i="76"/>
  <c r="G59" i="76"/>
  <c r="G61" i="76"/>
  <c r="G55" i="78"/>
  <c r="M53" i="79"/>
  <c r="N53" i="79"/>
  <c r="M67" i="80"/>
  <c r="M63" i="80"/>
  <c r="N63" i="80"/>
  <c r="M61" i="80"/>
  <c r="N61" i="80"/>
  <c r="M59" i="80"/>
  <c r="N59" i="80"/>
  <c r="M58" i="79"/>
  <c r="N58" i="79"/>
  <c r="N64" i="80"/>
  <c r="N62" i="80"/>
  <c r="E111" i="71" l="1"/>
  <c r="H34" i="47"/>
  <c r="H128" i="71"/>
  <c r="J95" i="71"/>
  <c r="K74" i="71"/>
  <c r="F17" i="71"/>
  <c r="J100" i="71"/>
  <c r="H65" i="71"/>
  <c r="E50" i="71"/>
  <c r="G100" i="71"/>
  <c r="J94" i="71"/>
  <c r="H74" i="71"/>
  <c r="H64" i="71"/>
  <c r="E17" i="71"/>
  <c r="E48" i="71" s="1"/>
  <c r="H21" i="71"/>
  <c r="H63" i="71"/>
  <c r="H46" i="71"/>
  <c r="H42" i="71"/>
  <c r="H30" i="71"/>
  <c r="H26" i="71"/>
  <c r="H22" i="71"/>
  <c r="H23" i="71"/>
  <c r="I62" i="71"/>
  <c r="I58" i="71"/>
  <c r="I54" i="71"/>
  <c r="B61" i="71"/>
  <c r="H55" i="71"/>
  <c r="B59" i="71"/>
  <c r="H47" i="71"/>
  <c r="N67" i="71" s="1"/>
  <c r="H43" i="71"/>
  <c r="H39" i="71"/>
  <c r="H35" i="71"/>
  <c r="H31" i="71"/>
  <c r="N59" i="71" s="1"/>
  <c r="H27" i="71"/>
  <c r="H19" i="71"/>
  <c r="G57" i="71"/>
  <c r="I30" i="71"/>
  <c r="B57" i="71"/>
  <c r="H44" i="71"/>
  <c r="H28" i="71"/>
  <c r="H24" i="71"/>
  <c r="H45" i="71"/>
  <c r="M66" i="71" s="1"/>
  <c r="H41" i="71"/>
  <c r="H37" i="71"/>
  <c r="H33" i="71"/>
  <c r="H29" i="71"/>
  <c r="H25" i="71"/>
  <c r="H20" i="71"/>
  <c r="I61" i="71"/>
  <c r="I59" i="71"/>
  <c r="E128" i="71"/>
  <c r="G63" i="71"/>
  <c r="G55" i="75"/>
  <c r="G63" i="75"/>
  <c r="J98" i="47"/>
  <c r="K55" i="80"/>
  <c r="E111" i="75"/>
  <c r="G57" i="73"/>
  <c r="F16" i="47"/>
  <c r="C103" i="47"/>
  <c r="E99" i="73"/>
  <c r="D94" i="73"/>
  <c r="C11" i="73"/>
  <c r="G107" i="75"/>
  <c r="G131" i="75" s="1"/>
  <c r="E52" i="75"/>
  <c r="K65" i="73"/>
  <c r="G62" i="75"/>
  <c r="E52" i="47"/>
  <c r="C102" i="47"/>
  <c r="G108" i="73"/>
  <c r="C9" i="73"/>
  <c r="D124" i="75"/>
  <c r="D123" i="75"/>
  <c r="J103" i="75"/>
  <c r="H73" i="75"/>
  <c r="E16" i="75"/>
  <c r="E128" i="73"/>
  <c r="J102" i="73"/>
  <c r="C95" i="73"/>
  <c r="H128" i="75"/>
  <c r="E102" i="75"/>
  <c r="D94" i="79"/>
  <c r="E94" i="79" s="1"/>
  <c r="F101" i="80"/>
  <c r="K58" i="73"/>
  <c r="F64" i="75"/>
  <c r="G53" i="75"/>
  <c r="G66" i="75"/>
  <c r="G62" i="47"/>
  <c r="E17" i="47"/>
  <c r="D50" i="47"/>
  <c r="K74" i="47"/>
  <c r="J94" i="47"/>
  <c r="H70" i="47"/>
  <c r="C100" i="47"/>
  <c r="H107" i="73"/>
  <c r="H131" i="73" s="1"/>
  <c r="E10" i="73"/>
  <c r="H108" i="75"/>
  <c r="J100" i="75"/>
  <c r="C98" i="75"/>
  <c r="H70" i="75"/>
  <c r="H107" i="80"/>
  <c r="H131" i="80" s="1"/>
  <c r="I67" i="47"/>
  <c r="G53" i="76"/>
  <c r="G67" i="75"/>
  <c r="G59" i="75"/>
  <c r="G65" i="71"/>
  <c r="K67" i="80"/>
  <c r="G101" i="75"/>
  <c r="I53" i="47"/>
  <c r="I58" i="47"/>
  <c r="F17" i="47"/>
  <c r="I16" i="47"/>
  <c r="E50" i="47"/>
  <c r="J95" i="47"/>
  <c r="C97" i="47"/>
  <c r="H73" i="47"/>
  <c r="J103" i="47"/>
  <c r="I129" i="47"/>
  <c r="H55" i="47"/>
  <c r="G129" i="71"/>
  <c r="C103" i="71"/>
  <c r="F100" i="71"/>
  <c r="J98" i="71"/>
  <c r="C97" i="71"/>
  <c r="K73" i="71"/>
  <c r="D50" i="71"/>
  <c r="I16" i="71"/>
  <c r="H129" i="73"/>
  <c r="I106" i="73"/>
  <c r="I130" i="73" s="1"/>
  <c r="I100" i="73"/>
  <c r="G99" i="73"/>
  <c r="C99" i="73"/>
  <c r="C10" i="73"/>
  <c r="G129" i="75"/>
  <c r="I111" i="75"/>
  <c r="F108" i="75"/>
  <c r="H106" i="75"/>
  <c r="H130" i="75" s="1"/>
  <c r="I102" i="75"/>
  <c r="H100" i="75"/>
  <c r="H99" i="75"/>
  <c r="D99" i="75"/>
  <c r="C97" i="75"/>
  <c r="C94" i="75"/>
  <c r="F17" i="75"/>
  <c r="E11" i="75"/>
  <c r="E9" i="75"/>
  <c r="F108" i="76"/>
  <c r="C103" i="76"/>
  <c r="C100" i="76"/>
  <c r="J97" i="76"/>
  <c r="J94" i="76"/>
  <c r="H73" i="76"/>
  <c r="D50" i="76"/>
  <c r="F16" i="76"/>
  <c r="F56" i="75"/>
  <c r="I101" i="72"/>
  <c r="I128" i="80"/>
  <c r="C97" i="80"/>
  <c r="H101" i="80"/>
  <c r="K64" i="80"/>
  <c r="F64" i="76"/>
  <c r="G61" i="75"/>
  <c r="G65" i="73"/>
  <c r="G63" i="47"/>
  <c r="I17" i="47"/>
  <c r="F102" i="73"/>
  <c r="H99" i="73"/>
  <c r="D99" i="73"/>
  <c r="I129" i="75"/>
  <c r="F128" i="75"/>
  <c r="E107" i="75"/>
  <c r="E131" i="75" s="1"/>
  <c r="C103" i="75"/>
  <c r="J94" i="75"/>
  <c r="E50" i="75"/>
  <c r="F60" i="75"/>
  <c r="G67" i="76"/>
  <c r="J67" i="76" s="1"/>
  <c r="G65" i="75"/>
  <c r="G57" i="75"/>
  <c r="G58" i="75"/>
  <c r="G55" i="71"/>
  <c r="K59" i="80"/>
  <c r="C9" i="47"/>
  <c r="E16" i="47"/>
  <c r="D52" i="47"/>
  <c r="K70" i="47"/>
  <c r="J97" i="47"/>
  <c r="C98" i="47"/>
  <c r="I128" i="71"/>
  <c r="C102" i="71"/>
  <c r="C100" i="71"/>
  <c r="D98" i="71"/>
  <c r="G103" i="71" s="1"/>
  <c r="H73" i="71"/>
  <c r="E52" i="71"/>
  <c r="I17" i="71"/>
  <c r="D94" i="72"/>
  <c r="E94" i="72" s="1"/>
  <c r="I128" i="73"/>
  <c r="F111" i="73"/>
  <c r="E106" i="73"/>
  <c r="E130" i="73" s="1"/>
  <c r="E100" i="73"/>
  <c r="F99" i="73"/>
  <c r="C94" i="73"/>
  <c r="C12" i="73"/>
  <c r="E129" i="75"/>
  <c r="G111" i="75"/>
  <c r="I107" i="75"/>
  <c r="I131" i="75" s="1"/>
  <c r="F106" i="75"/>
  <c r="F130" i="75" s="1"/>
  <c r="G102" i="75"/>
  <c r="F100" i="75"/>
  <c r="G99" i="75"/>
  <c r="C99" i="75"/>
  <c r="J95" i="75"/>
  <c r="H74" i="75"/>
  <c r="C11" i="75"/>
  <c r="G107" i="76"/>
  <c r="G131" i="76" s="1"/>
  <c r="H102" i="76"/>
  <c r="C97" i="76"/>
  <c r="K74" i="76"/>
  <c r="K66" i="75"/>
  <c r="K62" i="75"/>
  <c r="K58" i="75"/>
  <c r="E101" i="78"/>
  <c r="D94" i="80"/>
  <c r="G55" i="47"/>
  <c r="C12" i="47"/>
  <c r="G129" i="47"/>
  <c r="H59" i="47"/>
  <c r="E10" i="47"/>
  <c r="G54" i="47"/>
  <c r="G60" i="79"/>
  <c r="G63" i="78"/>
  <c r="G63" i="76"/>
  <c r="G55" i="76"/>
  <c r="G60" i="74"/>
  <c r="G66" i="76"/>
  <c r="G67" i="74"/>
  <c r="G59" i="72"/>
  <c r="G67" i="72"/>
  <c r="G61" i="71"/>
  <c r="K56" i="76"/>
  <c r="K66" i="76"/>
  <c r="I129" i="71"/>
  <c r="E129" i="71"/>
  <c r="F128" i="71"/>
  <c r="D124" i="71"/>
  <c r="D123" i="71"/>
  <c r="J103" i="71"/>
  <c r="H100" i="71"/>
  <c r="C12" i="71"/>
  <c r="C10" i="71"/>
  <c r="F129" i="72"/>
  <c r="I111" i="72"/>
  <c r="F108" i="72"/>
  <c r="H106" i="72"/>
  <c r="H130" i="72" s="1"/>
  <c r="I102" i="72"/>
  <c r="H100" i="72"/>
  <c r="C97" i="72"/>
  <c r="H70" i="72"/>
  <c r="F16" i="72"/>
  <c r="I129" i="74"/>
  <c r="E129" i="74"/>
  <c r="E111" i="74"/>
  <c r="G107" i="74"/>
  <c r="G131" i="74" s="1"/>
  <c r="J103" i="74"/>
  <c r="F102" i="74"/>
  <c r="H100" i="74"/>
  <c r="J97" i="74"/>
  <c r="K73" i="74"/>
  <c r="E52" i="74"/>
  <c r="F17" i="74"/>
  <c r="E16" i="74"/>
  <c r="I129" i="76"/>
  <c r="E129" i="76"/>
  <c r="F128" i="76"/>
  <c r="D124" i="76"/>
  <c r="D123" i="76"/>
  <c r="G111" i="76"/>
  <c r="H108" i="76"/>
  <c r="I107" i="76"/>
  <c r="I131" i="76" s="1"/>
  <c r="E107" i="76"/>
  <c r="E131" i="76" s="1"/>
  <c r="F106" i="76"/>
  <c r="F130" i="76" s="1"/>
  <c r="J102" i="76"/>
  <c r="F102" i="76"/>
  <c r="I100" i="76"/>
  <c r="E100" i="76"/>
  <c r="G99" i="76"/>
  <c r="C99" i="76"/>
  <c r="D94" i="76"/>
  <c r="G94" i="76" s="1"/>
  <c r="E10" i="76"/>
  <c r="K64" i="75"/>
  <c r="K60" i="75"/>
  <c r="K56" i="75"/>
  <c r="L56" i="75" s="1"/>
  <c r="F101" i="76"/>
  <c r="F101" i="71"/>
  <c r="K73" i="78"/>
  <c r="I101" i="78"/>
  <c r="E108" i="79"/>
  <c r="E99" i="79"/>
  <c r="C9" i="79"/>
  <c r="F61" i="71"/>
  <c r="K59" i="74"/>
  <c r="F56" i="76"/>
  <c r="D94" i="75"/>
  <c r="E94" i="75" s="1"/>
  <c r="H129" i="76"/>
  <c r="I128" i="76"/>
  <c r="E128" i="76"/>
  <c r="F111" i="76"/>
  <c r="G108" i="76"/>
  <c r="H107" i="76"/>
  <c r="H131" i="76" s="1"/>
  <c r="I106" i="76"/>
  <c r="I130" i="76" s="1"/>
  <c r="E106" i="76"/>
  <c r="E130" i="76" s="1"/>
  <c r="I102" i="76"/>
  <c r="E102" i="76"/>
  <c r="H100" i="76"/>
  <c r="F99" i="76"/>
  <c r="D98" i="76"/>
  <c r="E103" i="76" s="1"/>
  <c r="C94" i="76"/>
  <c r="C10" i="76"/>
  <c r="K67" i="75"/>
  <c r="K63" i="75"/>
  <c r="K59" i="75"/>
  <c r="K55" i="75"/>
  <c r="D97" i="76"/>
  <c r="D101" i="76" s="1"/>
  <c r="C103" i="78"/>
  <c r="I16" i="78"/>
  <c r="J102" i="79"/>
  <c r="C99" i="79"/>
  <c r="C12" i="79"/>
  <c r="G65" i="76"/>
  <c r="G57" i="76"/>
  <c r="G62" i="74"/>
  <c r="G54" i="74"/>
  <c r="G62" i="76"/>
  <c r="G63" i="74"/>
  <c r="G57" i="72"/>
  <c r="G65" i="72"/>
  <c r="G59" i="71"/>
  <c r="G67" i="71"/>
  <c r="K54" i="76"/>
  <c r="K64" i="76"/>
  <c r="I101" i="75"/>
  <c r="F129" i="71"/>
  <c r="G128" i="71"/>
  <c r="E108" i="71"/>
  <c r="J102" i="71"/>
  <c r="I100" i="71"/>
  <c r="E100" i="71"/>
  <c r="C99" i="71"/>
  <c r="C95" i="71"/>
  <c r="H129" i="72"/>
  <c r="E128" i="72"/>
  <c r="H108" i="72"/>
  <c r="E107" i="72"/>
  <c r="E131" i="72" s="1"/>
  <c r="C103" i="72"/>
  <c r="J100" i="72"/>
  <c r="C98" i="72"/>
  <c r="J94" i="72"/>
  <c r="H73" i="72"/>
  <c r="D97" i="71"/>
  <c r="F129" i="74"/>
  <c r="E128" i="74"/>
  <c r="F111" i="74"/>
  <c r="H107" i="74"/>
  <c r="H131" i="74" s="1"/>
  <c r="E106" i="74"/>
  <c r="E130" i="74" s="1"/>
  <c r="I102" i="74"/>
  <c r="I100" i="74"/>
  <c r="C98" i="74"/>
  <c r="J95" i="74"/>
  <c r="H74" i="74"/>
  <c r="H70" i="74"/>
  <c r="D50" i="74"/>
  <c r="I17" i="74"/>
  <c r="F129" i="76"/>
  <c r="G128" i="76"/>
  <c r="H111" i="76"/>
  <c r="I108" i="76"/>
  <c r="E108" i="76"/>
  <c r="F107" i="76"/>
  <c r="G106" i="76"/>
  <c r="G130" i="76" s="1"/>
  <c r="G102" i="76"/>
  <c r="J100" i="76"/>
  <c r="F100" i="76"/>
  <c r="H99" i="76"/>
  <c r="D99" i="76"/>
  <c r="C11" i="76"/>
  <c r="C9" i="76"/>
  <c r="K65" i="75"/>
  <c r="K61" i="75"/>
  <c r="K57" i="75"/>
  <c r="G101" i="74"/>
  <c r="G99" i="79"/>
  <c r="C95" i="79"/>
  <c r="H60" i="75"/>
  <c r="H58" i="75"/>
  <c r="H21" i="75"/>
  <c r="I21" i="75"/>
  <c r="H62" i="80"/>
  <c r="H45" i="74"/>
  <c r="I45" i="74"/>
  <c r="H21" i="74"/>
  <c r="I21" i="74"/>
  <c r="H35" i="76"/>
  <c r="I35" i="76"/>
  <c r="H31" i="76"/>
  <c r="I31" i="76"/>
  <c r="B64" i="76"/>
  <c r="I64" i="76"/>
  <c r="H64" i="76"/>
  <c r="E71" i="76" s="1"/>
  <c r="H26" i="78"/>
  <c r="I26" i="78"/>
  <c r="H36" i="79"/>
  <c r="I36" i="79"/>
  <c r="N53" i="80"/>
  <c r="M57" i="76"/>
  <c r="I42" i="71"/>
  <c r="B65" i="78"/>
  <c r="I32" i="71"/>
  <c r="H32" i="71"/>
  <c r="F65" i="71"/>
  <c r="G60" i="71"/>
  <c r="F57" i="71"/>
  <c r="I60" i="73"/>
  <c r="K60" i="73"/>
  <c r="H27" i="74"/>
  <c r="N57" i="74" s="1"/>
  <c r="I27" i="74"/>
  <c r="H35" i="78"/>
  <c r="I35" i="78"/>
  <c r="H31" i="78"/>
  <c r="I31" i="78"/>
  <c r="F57" i="78"/>
  <c r="E17" i="78"/>
  <c r="E52" i="78"/>
  <c r="H70" i="78"/>
  <c r="H74" i="78"/>
  <c r="J95" i="78"/>
  <c r="C100" i="78"/>
  <c r="G106" i="78"/>
  <c r="G130" i="78" s="1"/>
  <c r="G129" i="78"/>
  <c r="E16" i="78"/>
  <c r="F17" i="78"/>
  <c r="D50" i="78"/>
  <c r="K70" i="78"/>
  <c r="K74" i="78"/>
  <c r="C97" i="78"/>
  <c r="C102" i="78"/>
  <c r="H111" i="78"/>
  <c r="F16" i="78"/>
  <c r="I17" i="78"/>
  <c r="E50" i="78"/>
  <c r="H73" i="78"/>
  <c r="J94" i="78"/>
  <c r="J97" i="78"/>
  <c r="E102" i="78"/>
  <c r="H41" i="79"/>
  <c r="I41" i="79"/>
  <c r="H60" i="79"/>
  <c r="B60" i="79"/>
  <c r="H32" i="80"/>
  <c r="I32" i="80"/>
  <c r="H28" i="80"/>
  <c r="N58" i="80" s="1"/>
  <c r="I28" i="80"/>
  <c r="H20" i="80"/>
  <c r="N54" i="80" s="1"/>
  <c r="I20" i="80"/>
  <c r="B56" i="75"/>
  <c r="I56" i="75"/>
  <c r="H35" i="74"/>
  <c r="N61" i="74" s="1"/>
  <c r="I35" i="74"/>
  <c r="I65" i="74"/>
  <c r="B65" i="74"/>
  <c r="H65" i="74"/>
  <c r="B61" i="74"/>
  <c r="H61" i="74"/>
  <c r="H47" i="78"/>
  <c r="M67" i="78" s="1"/>
  <c r="I47" i="78"/>
  <c r="I20" i="78"/>
  <c r="H20" i="78"/>
  <c r="N54" i="78" s="1"/>
  <c r="H45" i="79"/>
  <c r="M66" i="79" s="1"/>
  <c r="I45" i="79"/>
  <c r="H35" i="79"/>
  <c r="I35" i="79"/>
  <c r="H30" i="79"/>
  <c r="I30" i="79"/>
  <c r="H26" i="79"/>
  <c r="I26" i="79"/>
  <c r="B66" i="80"/>
  <c r="I66" i="80"/>
  <c r="K58" i="76"/>
  <c r="I24" i="73"/>
  <c r="H42" i="75"/>
  <c r="H33" i="75"/>
  <c r="M60" i="75" s="1"/>
  <c r="I33" i="75"/>
  <c r="I25" i="75"/>
  <c r="I47" i="80"/>
  <c r="I43" i="80"/>
  <c r="B54" i="72"/>
  <c r="I54" i="72"/>
  <c r="F61" i="72"/>
  <c r="F63" i="72"/>
  <c r="F55" i="72"/>
  <c r="J55" i="72" s="1"/>
  <c r="F65" i="72"/>
  <c r="E9" i="74"/>
  <c r="E11" i="74"/>
  <c r="C94" i="74"/>
  <c r="D99" i="74"/>
  <c r="H99" i="74"/>
  <c r="F100" i="74"/>
  <c r="J100" i="74"/>
  <c r="G102" i="74"/>
  <c r="F106" i="74"/>
  <c r="F130" i="74" s="1"/>
  <c r="E107" i="74"/>
  <c r="E131" i="74" s="1"/>
  <c r="I107" i="74"/>
  <c r="I131" i="74" s="1"/>
  <c r="H108" i="74"/>
  <c r="G111" i="74"/>
  <c r="D123" i="74"/>
  <c r="D124" i="74"/>
  <c r="F128" i="74"/>
  <c r="C10" i="74"/>
  <c r="C12" i="74"/>
  <c r="D98" i="74"/>
  <c r="I103" i="74" s="1"/>
  <c r="E99" i="74"/>
  <c r="I99" i="74"/>
  <c r="G100" i="74"/>
  <c r="H102" i="74"/>
  <c r="G106" i="74"/>
  <c r="G130" i="74" s="1"/>
  <c r="F107" i="74"/>
  <c r="E108" i="74"/>
  <c r="I108" i="74"/>
  <c r="H111" i="74"/>
  <c r="G128" i="74"/>
  <c r="B67" i="76"/>
  <c r="H67" i="76"/>
  <c r="H58" i="78"/>
  <c r="B58" i="78"/>
  <c r="B54" i="78"/>
  <c r="H54" i="78"/>
  <c r="B57" i="80"/>
  <c r="H57" i="80"/>
  <c r="B55" i="80"/>
  <c r="H55" i="80"/>
  <c r="N66" i="75"/>
  <c r="N65" i="75"/>
  <c r="I41" i="75"/>
  <c r="I38" i="75"/>
  <c r="H36" i="75"/>
  <c r="M62" i="75" s="1"/>
  <c r="I24" i="75"/>
  <c r="M63" i="72"/>
  <c r="I60" i="72"/>
  <c r="M64" i="73"/>
  <c r="N57" i="73"/>
  <c r="M56" i="73"/>
  <c r="M60" i="74"/>
  <c r="M59" i="74"/>
  <c r="N58" i="74"/>
  <c r="I57" i="74"/>
  <c r="M60" i="76"/>
  <c r="I53" i="78"/>
  <c r="F65" i="78"/>
  <c r="M60" i="79"/>
  <c r="I67" i="79"/>
  <c r="I65" i="80"/>
  <c r="I63" i="80"/>
  <c r="H64" i="75"/>
  <c r="I67" i="71"/>
  <c r="I56" i="71"/>
  <c r="M56" i="72"/>
  <c r="I66" i="72"/>
  <c r="M60" i="73"/>
  <c r="N59" i="73"/>
  <c r="I65" i="73"/>
  <c r="I56" i="73"/>
  <c r="I56" i="74"/>
  <c r="I54" i="76"/>
  <c r="F60" i="76"/>
  <c r="I61" i="79"/>
  <c r="I67" i="72"/>
  <c r="I65" i="72"/>
  <c r="I55" i="73"/>
  <c r="I53" i="73"/>
  <c r="I61" i="74"/>
  <c r="I55" i="76"/>
  <c r="I53" i="76"/>
  <c r="N67" i="78"/>
  <c r="I60" i="78"/>
  <c r="I58" i="78"/>
  <c r="I60" i="79"/>
  <c r="I58" i="79"/>
  <c r="I57" i="80"/>
  <c r="I55" i="80"/>
  <c r="I60" i="71"/>
  <c r="B60" i="71"/>
  <c r="B62" i="73"/>
  <c r="I62" i="73"/>
  <c r="F54" i="73"/>
  <c r="F56" i="73"/>
  <c r="F55" i="79"/>
  <c r="F63" i="79"/>
  <c r="F57" i="79"/>
  <c r="F65" i="79"/>
  <c r="D97" i="79"/>
  <c r="D101" i="79" s="1"/>
  <c r="F59" i="79"/>
  <c r="F16" i="79"/>
  <c r="I17" i="79"/>
  <c r="E50" i="79"/>
  <c r="K73" i="79"/>
  <c r="J94" i="79"/>
  <c r="J97" i="79"/>
  <c r="E100" i="79"/>
  <c r="F102" i="79"/>
  <c r="E103" i="79"/>
  <c r="F107" i="79"/>
  <c r="F131" i="79" s="1"/>
  <c r="I108" i="79"/>
  <c r="G129" i="79"/>
  <c r="F61" i="79"/>
  <c r="I16" i="79"/>
  <c r="D52" i="79"/>
  <c r="H70" i="79"/>
  <c r="H74" i="79"/>
  <c r="C98" i="79"/>
  <c r="G100" i="79"/>
  <c r="H102" i="79"/>
  <c r="E106" i="79"/>
  <c r="H107" i="79"/>
  <c r="H131" i="79" s="1"/>
  <c r="F111" i="79"/>
  <c r="F128" i="79"/>
  <c r="I129" i="79"/>
  <c r="B67" i="80"/>
  <c r="H67" i="80"/>
  <c r="F16" i="80"/>
  <c r="I17" i="80"/>
  <c r="G62" i="79"/>
  <c r="I22" i="71"/>
  <c r="H59" i="72"/>
  <c r="H128" i="73"/>
  <c r="I111" i="73"/>
  <c r="F108" i="73"/>
  <c r="J103" i="73"/>
  <c r="E102" i="73"/>
  <c r="E112" i="73" s="1"/>
  <c r="E125" i="73" s="1"/>
  <c r="J98" i="73"/>
  <c r="C97" i="73"/>
  <c r="F17" i="73"/>
  <c r="E16" i="73"/>
  <c r="I30" i="74"/>
  <c r="N64" i="75"/>
  <c r="I60" i="75"/>
  <c r="F111" i="78"/>
  <c r="E9" i="78"/>
  <c r="I106" i="79"/>
  <c r="I130" i="79" s="1"/>
  <c r="D50" i="79"/>
  <c r="F17" i="79"/>
  <c r="F67" i="79"/>
  <c r="B56" i="79"/>
  <c r="F56" i="47"/>
  <c r="F64" i="47"/>
  <c r="B64" i="72"/>
  <c r="I64" i="72"/>
  <c r="I57" i="78"/>
  <c r="H57" i="78"/>
  <c r="I54" i="80"/>
  <c r="H54" i="80"/>
  <c r="G63" i="80"/>
  <c r="F60" i="80"/>
  <c r="C94" i="80"/>
  <c r="E99" i="80"/>
  <c r="F102" i="80"/>
  <c r="E9" i="80"/>
  <c r="G99" i="80"/>
  <c r="E106" i="80"/>
  <c r="G64" i="79"/>
  <c r="N60" i="79"/>
  <c r="G67" i="78"/>
  <c r="G59" i="78"/>
  <c r="N53" i="78"/>
  <c r="G58" i="78"/>
  <c r="G61" i="73"/>
  <c r="N56" i="72"/>
  <c r="G103" i="79"/>
  <c r="H103" i="79"/>
  <c r="M56" i="75"/>
  <c r="M64" i="75"/>
  <c r="H32" i="47"/>
  <c r="H40" i="47"/>
  <c r="J102" i="47"/>
  <c r="E129" i="47"/>
  <c r="H67" i="47"/>
  <c r="I21" i="71"/>
  <c r="H66" i="72"/>
  <c r="I24" i="72"/>
  <c r="F129" i="73"/>
  <c r="G128" i="73"/>
  <c r="H111" i="73"/>
  <c r="I108" i="73"/>
  <c r="E108" i="73"/>
  <c r="F107" i="73"/>
  <c r="F131" i="73" s="1"/>
  <c r="G106" i="73"/>
  <c r="G130" i="73" s="1"/>
  <c r="H102" i="73"/>
  <c r="C102" i="73"/>
  <c r="G100" i="73"/>
  <c r="D98" i="73"/>
  <c r="F103" i="73" s="1"/>
  <c r="J95" i="73"/>
  <c r="H73" i="73"/>
  <c r="H62" i="73"/>
  <c r="D50" i="73"/>
  <c r="I30" i="73"/>
  <c r="E17" i="73"/>
  <c r="I38" i="74"/>
  <c r="H66" i="75"/>
  <c r="I40" i="75"/>
  <c r="I64" i="75"/>
  <c r="E108" i="78"/>
  <c r="H100" i="78"/>
  <c r="D99" i="78"/>
  <c r="E129" i="79"/>
  <c r="H111" i="79"/>
  <c r="G106" i="79"/>
  <c r="G130" i="79" s="1"/>
  <c r="I100" i="79"/>
  <c r="J95" i="79"/>
  <c r="H73" i="79"/>
  <c r="I39" i="79"/>
  <c r="E17" i="79"/>
  <c r="I99" i="80"/>
  <c r="H74" i="80"/>
  <c r="K53" i="73"/>
  <c r="K61" i="73"/>
  <c r="E101" i="73"/>
  <c r="K64" i="73"/>
  <c r="G101" i="73"/>
  <c r="H29" i="76"/>
  <c r="N58" i="76" s="1"/>
  <c r="I29" i="76"/>
  <c r="H24" i="76"/>
  <c r="I24" i="76"/>
  <c r="H36" i="78"/>
  <c r="N62" i="78" s="1"/>
  <c r="I36" i="78"/>
  <c r="H24" i="78"/>
  <c r="I24" i="78"/>
  <c r="B62" i="78"/>
  <c r="H62" i="78"/>
  <c r="H42" i="80"/>
  <c r="I42" i="80"/>
  <c r="H29" i="75"/>
  <c r="I29" i="75"/>
  <c r="I64" i="73"/>
  <c r="B64" i="73"/>
  <c r="F61" i="78"/>
  <c r="E10" i="78"/>
  <c r="H99" i="78"/>
  <c r="J100" i="78"/>
  <c r="I102" i="78"/>
  <c r="I106" i="78"/>
  <c r="I130" i="78" s="1"/>
  <c r="G108" i="78"/>
  <c r="F128" i="78"/>
  <c r="I129" i="78"/>
  <c r="D97" i="78"/>
  <c r="D101" i="78" s="1"/>
  <c r="F55" i="78"/>
  <c r="F63" i="78"/>
  <c r="J63" i="78" s="1"/>
  <c r="E11" i="78"/>
  <c r="C94" i="78"/>
  <c r="D98" i="78"/>
  <c r="F103" i="78" s="1"/>
  <c r="F107" i="78"/>
  <c r="F131" i="78" s="1"/>
  <c r="I108" i="78"/>
  <c r="D123" i="78"/>
  <c r="D124" i="78"/>
  <c r="H128" i="78"/>
  <c r="H37" i="79"/>
  <c r="M62" i="79" s="1"/>
  <c r="I37" i="79"/>
  <c r="H21" i="79"/>
  <c r="I21" i="79"/>
  <c r="G61" i="78"/>
  <c r="J61" i="78" s="1"/>
  <c r="G53" i="78"/>
  <c r="G59" i="73"/>
  <c r="G67" i="73"/>
  <c r="N67" i="73"/>
  <c r="J61" i="72"/>
  <c r="G94" i="72"/>
  <c r="M55" i="75"/>
  <c r="I46" i="71"/>
  <c r="I26" i="71"/>
  <c r="I46" i="72"/>
  <c r="G129" i="73"/>
  <c r="E111" i="73"/>
  <c r="G107" i="73"/>
  <c r="G131" i="73" s="1"/>
  <c r="H106" i="73"/>
  <c r="H130" i="73" s="1"/>
  <c r="I102" i="73"/>
  <c r="I112" i="73" s="1"/>
  <c r="I125" i="73" s="1"/>
  <c r="H100" i="73"/>
  <c r="C100" i="73"/>
  <c r="K73" i="73"/>
  <c r="E50" i="73"/>
  <c r="E129" i="78"/>
  <c r="E106" i="78"/>
  <c r="E130" i="78" s="1"/>
  <c r="F99" i="78"/>
  <c r="F67" i="78"/>
  <c r="J67" i="78" s="1"/>
  <c r="C102" i="79"/>
  <c r="C97" i="79"/>
  <c r="K74" i="79"/>
  <c r="E100" i="80"/>
  <c r="G101" i="78"/>
  <c r="K56" i="78"/>
  <c r="I59" i="78"/>
  <c r="B59" i="78"/>
  <c r="H26" i="80"/>
  <c r="I26" i="80"/>
  <c r="I56" i="80"/>
  <c r="B56" i="80"/>
  <c r="G56" i="79"/>
  <c r="G58" i="79"/>
  <c r="G66" i="79"/>
  <c r="G65" i="78"/>
  <c r="G57" i="78"/>
  <c r="G62" i="78"/>
  <c r="M58" i="74"/>
  <c r="G55" i="73"/>
  <c r="G63" i="73"/>
  <c r="J57" i="72"/>
  <c r="K63" i="80"/>
  <c r="G67" i="47"/>
  <c r="F103" i="79"/>
  <c r="M63" i="75"/>
  <c r="M66" i="75"/>
  <c r="H44" i="47"/>
  <c r="I55" i="47"/>
  <c r="H63" i="47"/>
  <c r="H60" i="71"/>
  <c r="I129" i="73"/>
  <c r="E129" i="73"/>
  <c r="F128" i="73"/>
  <c r="D124" i="73"/>
  <c r="D123" i="73"/>
  <c r="G111" i="73"/>
  <c r="H108" i="73"/>
  <c r="I107" i="73"/>
  <c r="E107" i="73"/>
  <c r="E131" i="73" s="1"/>
  <c r="F106" i="73"/>
  <c r="F130" i="73" s="1"/>
  <c r="C103" i="73"/>
  <c r="G102" i="73"/>
  <c r="J100" i="73"/>
  <c r="F100" i="73"/>
  <c r="C98" i="73"/>
  <c r="K74" i="73"/>
  <c r="K70" i="73"/>
  <c r="E52" i="73"/>
  <c r="I47" i="73"/>
  <c r="I16" i="73"/>
  <c r="E11" i="73"/>
  <c r="I24" i="74"/>
  <c r="H56" i="75"/>
  <c r="N67" i="75"/>
  <c r="I45" i="75"/>
  <c r="H107" i="78"/>
  <c r="H131" i="78" s="1"/>
  <c r="G102" i="78"/>
  <c r="F100" i="78"/>
  <c r="I19" i="78"/>
  <c r="F59" i="78"/>
  <c r="H128" i="79"/>
  <c r="G108" i="79"/>
  <c r="C103" i="79"/>
  <c r="C100" i="79"/>
  <c r="K70" i="79"/>
  <c r="E16" i="79"/>
  <c r="F111" i="80"/>
  <c r="C99" i="80"/>
  <c r="H70" i="80"/>
  <c r="K66" i="73"/>
  <c r="I53" i="71"/>
  <c r="M64" i="72"/>
  <c r="N67" i="74"/>
  <c r="M67" i="74"/>
  <c r="G57" i="74"/>
  <c r="F53" i="74"/>
  <c r="H47" i="76"/>
  <c r="N67" i="76" s="1"/>
  <c r="I47" i="76"/>
  <c r="I62" i="76"/>
  <c r="B62" i="76"/>
  <c r="B60" i="76"/>
  <c r="I60" i="76"/>
  <c r="H60" i="76"/>
  <c r="B55" i="76"/>
  <c r="J70" i="76" s="1"/>
  <c r="J73" i="76" s="1"/>
  <c r="D100" i="76" s="1"/>
  <c r="H55" i="76"/>
  <c r="H42" i="78"/>
  <c r="M65" i="78" s="1"/>
  <c r="I42" i="78"/>
  <c r="H25" i="78"/>
  <c r="I25" i="78"/>
  <c r="B62" i="79"/>
  <c r="H62" i="79"/>
  <c r="B53" i="79"/>
  <c r="I53" i="79"/>
  <c r="L64" i="75"/>
  <c r="I65" i="75"/>
  <c r="I61" i="75"/>
  <c r="K54" i="80"/>
  <c r="K56" i="80"/>
  <c r="E101" i="80"/>
  <c r="I101" i="80"/>
  <c r="M65" i="72"/>
  <c r="M57" i="72"/>
  <c r="B56" i="72"/>
  <c r="I56" i="72"/>
  <c r="G56" i="72"/>
  <c r="F59" i="72"/>
  <c r="F67" i="72"/>
  <c r="N60" i="73"/>
  <c r="B54" i="73"/>
  <c r="I54" i="73"/>
  <c r="G64" i="73"/>
  <c r="I55" i="74"/>
  <c r="I67" i="78"/>
  <c r="B67" i="78"/>
  <c r="I65" i="78"/>
  <c r="I59" i="79"/>
  <c r="N59" i="75"/>
  <c r="I66" i="71"/>
  <c r="N61" i="72"/>
  <c r="I59" i="72"/>
  <c r="M61" i="73"/>
  <c r="K62" i="73"/>
  <c r="I57" i="73"/>
  <c r="K57" i="73"/>
  <c r="I58" i="74"/>
  <c r="N65" i="76"/>
  <c r="I62" i="79"/>
  <c r="I64" i="80"/>
  <c r="B64" i="80"/>
  <c r="I62" i="80"/>
  <c r="H61" i="47"/>
  <c r="I65" i="71"/>
  <c r="I57" i="71"/>
  <c r="I63" i="72"/>
  <c r="I55" i="72"/>
  <c r="N58" i="73"/>
  <c r="I61" i="73"/>
  <c r="I62" i="74"/>
  <c r="I54" i="74"/>
  <c r="I67" i="76"/>
  <c r="I59" i="76"/>
  <c r="I64" i="78"/>
  <c r="I56" i="78"/>
  <c r="M63" i="79"/>
  <c r="I66" i="79"/>
  <c r="G65" i="79"/>
  <c r="J65" i="79" s="1"/>
  <c r="M64" i="80"/>
  <c r="I61" i="80"/>
  <c r="I53" i="80"/>
  <c r="I63" i="71"/>
  <c r="M62" i="72"/>
  <c r="I61" i="72"/>
  <c r="I60" i="74"/>
  <c r="I65" i="76"/>
  <c r="I57" i="76"/>
  <c r="M60" i="78"/>
  <c r="I62" i="78"/>
  <c r="I54" i="78"/>
  <c r="M67" i="79"/>
  <c r="I64" i="79"/>
  <c r="I56" i="79"/>
  <c r="I67" i="80"/>
  <c r="I59" i="80"/>
  <c r="E95" i="73"/>
  <c r="G95" i="73"/>
  <c r="I95" i="73"/>
  <c r="H45" i="47"/>
  <c r="H35" i="47"/>
  <c r="H29" i="47"/>
  <c r="H37" i="47"/>
  <c r="H25" i="47"/>
  <c r="I94" i="76"/>
  <c r="I57" i="75"/>
  <c r="H57" i="75"/>
  <c r="K53" i="75"/>
  <c r="K53" i="74"/>
  <c r="K57" i="74"/>
  <c r="K61" i="74"/>
  <c r="K65" i="74"/>
  <c r="F101" i="74"/>
  <c r="H101" i="74"/>
  <c r="D94" i="74"/>
  <c r="E94" i="74" s="1"/>
  <c r="K55" i="79"/>
  <c r="E101" i="79"/>
  <c r="G101" i="79"/>
  <c r="I101" i="79"/>
  <c r="H46" i="47"/>
  <c r="H47" i="47"/>
  <c r="H42" i="47"/>
  <c r="H43" i="47"/>
  <c r="H38" i="47"/>
  <c r="H36" i="47"/>
  <c r="H30" i="47"/>
  <c r="H31" i="47"/>
  <c r="H28" i="47"/>
  <c r="H26" i="47"/>
  <c r="H27" i="47"/>
  <c r="H22" i="47"/>
  <c r="H20" i="47"/>
  <c r="H19" i="47"/>
  <c r="I19" i="47"/>
  <c r="F54" i="47"/>
  <c r="F58" i="47"/>
  <c r="F62" i="47"/>
  <c r="J62" i="47" s="1"/>
  <c r="F66" i="47"/>
  <c r="E11" i="47"/>
  <c r="D123" i="47"/>
  <c r="F100" i="47"/>
  <c r="H100" i="47"/>
  <c r="D98" i="47"/>
  <c r="F103" i="47" s="1"/>
  <c r="E128" i="47"/>
  <c r="F128" i="47"/>
  <c r="G128" i="47"/>
  <c r="H128" i="47"/>
  <c r="I128" i="47"/>
  <c r="C99" i="47"/>
  <c r="C95" i="47"/>
  <c r="C11" i="47"/>
  <c r="E9" i="47"/>
  <c r="J100" i="47"/>
  <c r="G60" i="47"/>
  <c r="G53" i="47"/>
  <c r="G57" i="47"/>
  <c r="G61" i="47"/>
  <c r="B66" i="47"/>
  <c r="H66" i="47"/>
  <c r="I66" i="47"/>
  <c r="I65" i="47"/>
  <c r="B64" i="47"/>
  <c r="H64" i="47"/>
  <c r="I64" i="47"/>
  <c r="B62" i="47"/>
  <c r="H62" i="47"/>
  <c r="I62" i="47"/>
  <c r="B60" i="47"/>
  <c r="H60" i="47"/>
  <c r="I59" i="47"/>
  <c r="B58" i="47"/>
  <c r="H58" i="47"/>
  <c r="I57" i="47"/>
  <c r="B56" i="47"/>
  <c r="H56" i="47"/>
  <c r="I56" i="47"/>
  <c r="B54" i="47"/>
  <c r="H54" i="47"/>
  <c r="I54" i="47"/>
  <c r="H40" i="71"/>
  <c r="I40" i="71"/>
  <c r="H38" i="71"/>
  <c r="N63" i="71" s="1"/>
  <c r="I38" i="71"/>
  <c r="H47" i="72"/>
  <c r="I47" i="72"/>
  <c r="H45" i="72"/>
  <c r="I45" i="72"/>
  <c r="H39" i="73"/>
  <c r="I39" i="73"/>
  <c r="H37" i="73"/>
  <c r="I37" i="73"/>
  <c r="N66" i="74"/>
  <c r="H43" i="74"/>
  <c r="I43" i="74"/>
  <c r="H41" i="74"/>
  <c r="I41" i="74"/>
  <c r="M66" i="76"/>
  <c r="H41" i="76"/>
  <c r="I41" i="76"/>
  <c r="H39" i="76"/>
  <c r="I39" i="76"/>
  <c r="M66" i="78"/>
  <c r="H41" i="78"/>
  <c r="I41" i="78"/>
  <c r="H39" i="78"/>
  <c r="I39" i="78"/>
  <c r="H25" i="80"/>
  <c r="I25" i="80"/>
  <c r="H23" i="80"/>
  <c r="I23" i="80"/>
  <c r="F55" i="80"/>
  <c r="L55" i="80" s="1"/>
  <c r="F58" i="80"/>
  <c r="F62" i="80"/>
  <c r="F67" i="80"/>
  <c r="L67" i="80" s="1"/>
  <c r="F64" i="80"/>
  <c r="L64" i="80" s="1"/>
  <c r="F65" i="80"/>
  <c r="E11" i="80"/>
  <c r="E16" i="80"/>
  <c r="I16" i="80"/>
  <c r="F17" i="80"/>
  <c r="E50" i="80"/>
  <c r="E52" i="80"/>
  <c r="K70" i="80"/>
  <c r="K73" i="80"/>
  <c r="K74" i="80"/>
  <c r="J95" i="80"/>
  <c r="J97" i="80"/>
  <c r="C100" i="80"/>
  <c r="G100" i="80"/>
  <c r="C102" i="80"/>
  <c r="H102" i="80"/>
  <c r="C103" i="80"/>
  <c r="G106" i="80"/>
  <c r="G130" i="80" s="1"/>
  <c r="F107" i="80"/>
  <c r="F131" i="80" s="1"/>
  <c r="E108" i="80"/>
  <c r="I108" i="80"/>
  <c r="H111" i="80"/>
  <c r="G128" i="80"/>
  <c r="F129" i="80"/>
  <c r="J55" i="78"/>
  <c r="N66" i="76"/>
  <c r="M66" i="74"/>
  <c r="N61" i="73"/>
  <c r="N65" i="72"/>
  <c r="G58" i="47"/>
  <c r="G66" i="47"/>
  <c r="K65" i="80"/>
  <c r="K61" i="80"/>
  <c r="K57" i="80"/>
  <c r="L56" i="76"/>
  <c r="L60" i="76"/>
  <c r="G65" i="47"/>
  <c r="G59" i="47"/>
  <c r="I94" i="71"/>
  <c r="I99" i="71" s="1"/>
  <c r="M57" i="75"/>
  <c r="M61" i="75"/>
  <c r="M65" i="75"/>
  <c r="I61" i="47"/>
  <c r="H41" i="47"/>
  <c r="H23" i="47"/>
  <c r="H33" i="47"/>
  <c r="H39" i="47"/>
  <c r="I63" i="47"/>
  <c r="I60" i="47"/>
  <c r="G64" i="47"/>
  <c r="I38" i="47"/>
  <c r="I36" i="47"/>
  <c r="I28" i="47"/>
  <c r="I22" i="47"/>
  <c r="I20" i="47"/>
  <c r="C10" i="47"/>
  <c r="C94" i="47"/>
  <c r="H129" i="47"/>
  <c r="F129" i="47"/>
  <c r="E100" i="47"/>
  <c r="G100" i="47"/>
  <c r="H65" i="47"/>
  <c r="H57" i="47"/>
  <c r="D124" i="47"/>
  <c r="I36" i="72"/>
  <c r="I34" i="72"/>
  <c r="I28" i="73"/>
  <c r="I26" i="73"/>
  <c r="F95" i="74"/>
  <c r="I95" i="74"/>
  <c r="H65" i="75"/>
  <c r="H61" i="75"/>
  <c r="I47" i="75"/>
  <c r="I43" i="75"/>
  <c r="I39" i="75"/>
  <c r="I35" i="75"/>
  <c r="I31" i="75"/>
  <c r="I27" i="75"/>
  <c r="I23" i="75"/>
  <c r="I19" i="75"/>
  <c r="L60" i="75"/>
  <c r="I67" i="75"/>
  <c r="H67" i="75"/>
  <c r="I66" i="75"/>
  <c r="B65" i="75"/>
  <c r="I63" i="75"/>
  <c r="H63" i="75"/>
  <c r="I62" i="75"/>
  <c r="B61" i="75"/>
  <c r="I59" i="75"/>
  <c r="H59" i="75"/>
  <c r="I58" i="75"/>
  <c r="B57" i="75"/>
  <c r="I55" i="75"/>
  <c r="H55" i="75"/>
  <c r="I53" i="75"/>
  <c r="I101" i="74"/>
  <c r="E101" i="74"/>
  <c r="E95" i="78"/>
  <c r="G95" i="78"/>
  <c r="I46" i="78"/>
  <c r="H129" i="80"/>
  <c r="E128" i="80"/>
  <c r="G108" i="80"/>
  <c r="I106" i="80"/>
  <c r="I130" i="80" s="1"/>
  <c r="J102" i="80"/>
  <c r="I100" i="80"/>
  <c r="C98" i="80"/>
  <c r="J94" i="80"/>
  <c r="H73" i="80"/>
  <c r="D52" i="80"/>
  <c r="E17" i="80"/>
  <c r="H101" i="79"/>
  <c r="D97" i="80"/>
  <c r="D101" i="80" s="1"/>
  <c r="F60" i="47"/>
  <c r="B59" i="47"/>
  <c r="K63" i="74"/>
  <c r="K55" i="74"/>
  <c r="H36" i="71"/>
  <c r="I36" i="71"/>
  <c r="H34" i="71"/>
  <c r="I34" i="71"/>
  <c r="B66" i="71"/>
  <c r="H66" i="71"/>
  <c r="B62" i="71"/>
  <c r="H62" i="71"/>
  <c r="B58" i="71"/>
  <c r="H58" i="71"/>
  <c r="I55" i="71"/>
  <c r="B54" i="71"/>
  <c r="H54" i="71"/>
  <c r="H31" i="72"/>
  <c r="I31" i="72"/>
  <c r="H29" i="72"/>
  <c r="I29" i="72"/>
  <c r="I53" i="72"/>
  <c r="F53" i="72"/>
  <c r="F54" i="72"/>
  <c r="F56" i="72"/>
  <c r="F58" i="72"/>
  <c r="F60" i="72"/>
  <c r="F62" i="72"/>
  <c r="F64" i="72"/>
  <c r="F66" i="72"/>
  <c r="E11" i="72"/>
  <c r="E16" i="72"/>
  <c r="I16" i="72"/>
  <c r="F17" i="72"/>
  <c r="E50" i="72"/>
  <c r="E52" i="72"/>
  <c r="K70" i="72"/>
  <c r="K73" i="72"/>
  <c r="K74" i="72"/>
  <c r="J97" i="72"/>
  <c r="D98" i="72"/>
  <c r="F103" i="72" s="1"/>
  <c r="E100" i="72"/>
  <c r="E112" i="72" s="1"/>
  <c r="E125" i="72" s="1"/>
  <c r="G100" i="72"/>
  <c r="G112" i="72" s="1"/>
  <c r="G125" i="72" s="1"/>
  <c r="I100" i="72"/>
  <c r="I112" i="72" s="1"/>
  <c r="I125" i="72" s="1"/>
  <c r="C102" i="72"/>
  <c r="F102" i="72"/>
  <c r="F112" i="72" s="1"/>
  <c r="F125" i="72" s="1"/>
  <c r="H102" i="72"/>
  <c r="J102" i="72"/>
  <c r="E103" i="72"/>
  <c r="E106" i="72"/>
  <c r="E130" i="72" s="1"/>
  <c r="G106" i="72"/>
  <c r="G130" i="72" s="1"/>
  <c r="I106" i="72"/>
  <c r="I130" i="72" s="1"/>
  <c r="F107" i="72"/>
  <c r="F109" i="72" s="1"/>
  <c r="F110" i="72" s="1"/>
  <c r="H107" i="72"/>
  <c r="H131" i="72" s="1"/>
  <c r="E108" i="72"/>
  <c r="G108" i="72"/>
  <c r="I108" i="72"/>
  <c r="F111" i="72"/>
  <c r="H111" i="72"/>
  <c r="F128" i="72"/>
  <c r="H128" i="72"/>
  <c r="E129" i="72"/>
  <c r="G129" i="72"/>
  <c r="G132" i="72" s="1"/>
  <c r="G135" i="72" s="1"/>
  <c r="I129" i="72"/>
  <c r="I132" i="72" s="1"/>
  <c r="I135" i="72" s="1"/>
  <c r="H23" i="73"/>
  <c r="I23" i="73"/>
  <c r="H21" i="73"/>
  <c r="I21" i="73"/>
  <c r="I67" i="73"/>
  <c r="K67" i="73"/>
  <c r="I63" i="73"/>
  <c r="K63" i="73"/>
  <c r="I59" i="73"/>
  <c r="K59" i="73"/>
  <c r="H39" i="74"/>
  <c r="I39" i="74"/>
  <c r="H37" i="74"/>
  <c r="I37" i="74"/>
  <c r="M55" i="74"/>
  <c r="N55" i="74"/>
  <c r="B67" i="74"/>
  <c r="H67" i="74"/>
  <c r="B63" i="74"/>
  <c r="H63" i="74"/>
  <c r="B59" i="74"/>
  <c r="H59" i="74"/>
  <c r="B55" i="74"/>
  <c r="J70" i="74" s="1"/>
  <c r="H55" i="74"/>
  <c r="G54" i="75"/>
  <c r="F53" i="75"/>
  <c r="J53" i="75" s="1"/>
  <c r="J71" i="75" s="1"/>
  <c r="F54" i="75"/>
  <c r="F58" i="75"/>
  <c r="J58" i="75" s="1"/>
  <c r="F62" i="75"/>
  <c r="L62" i="75" s="1"/>
  <c r="F66" i="75"/>
  <c r="L66" i="75" s="1"/>
  <c r="F16" i="75"/>
  <c r="E17" i="75"/>
  <c r="I17" i="75"/>
  <c r="D50" i="75"/>
  <c r="D52" i="75"/>
  <c r="K70" i="75"/>
  <c r="K73" i="75"/>
  <c r="K74" i="75"/>
  <c r="J97" i="75"/>
  <c r="D98" i="75"/>
  <c r="F103" i="75" s="1"/>
  <c r="E100" i="75"/>
  <c r="G100" i="75"/>
  <c r="G112" i="75" s="1"/>
  <c r="G125" i="75" s="1"/>
  <c r="I100" i="75"/>
  <c r="I112" i="75" s="1"/>
  <c r="I125" i="75" s="1"/>
  <c r="C102" i="75"/>
  <c r="F102" i="75"/>
  <c r="F112" i="75" s="1"/>
  <c r="F125" i="75" s="1"/>
  <c r="H102" i="75"/>
  <c r="H112" i="75" s="1"/>
  <c r="H125" i="75" s="1"/>
  <c r="J102" i="75"/>
  <c r="E103" i="75"/>
  <c r="E106" i="75"/>
  <c r="E130" i="75" s="1"/>
  <c r="G106" i="75"/>
  <c r="G130" i="75" s="1"/>
  <c r="I106" i="75"/>
  <c r="I130" i="75" s="1"/>
  <c r="F107" i="75"/>
  <c r="F131" i="75" s="1"/>
  <c r="H107" i="75"/>
  <c r="H131" i="75" s="1"/>
  <c r="E108" i="75"/>
  <c r="G108" i="75"/>
  <c r="I108" i="75"/>
  <c r="F111" i="75"/>
  <c r="H111" i="75"/>
  <c r="E128" i="75"/>
  <c r="G128" i="75"/>
  <c r="I128" i="75"/>
  <c r="F129" i="75"/>
  <c r="H129" i="75"/>
  <c r="H25" i="76"/>
  <c r="I25" i="76"/>
  <c r="H23" i="76"/>
  <c r="I23" i="76"/>
  <c r="M59" i="79"/>
  <c r="N59" i="79"/>
  <c r="M55" i="79"/>
  <c r="N55" i="79"/>
  <c r="B67" i="79"/>
  <c r="H67" i="79"/>
  <c r="B63" i="79"/>
  <c r="H63" i="79"/>
  <c r="B59" i="79"/>
  <c r="H59" i="79"/>
  <c r="B55" i="79"/>
  <c r="H55" i="79"/>
  <c r="M61" i="72"/>
  <c r="M65" i="73"/>
  <c r="M57" i="73"/>
  <c r="M61" i="74"/>
  <c r="N60" i="74"/>
  <c r="N59" i="74"/>
  <c r="M62" i="76"/>
  <c r="N60" i="76"/>
  <c r="M54" i="76"/>
  <c r="F54" i="76"/>
  <c r="L54" i="76" s="1"/>
  <c r="F58" i="76"/>
  <c r="F62" i="76"/>
  <c r="L62" i="76" s="1"/>
  <c r="F66" i="76"/>
  <c r="J66" i="76" s="1"/>
  <c r="M58" i="78"/>
  <c r="G56" i="73"/>
  <c r="J56" i="73" s="1"/>
  <c r="N60" i="78"/>
  <c r="M54" i="78"/>
  <c r="N67" i="79"/>
  <c r="N66" i="79"/>
  <c r="N63" i="79"/>
  <c r="N62" i="79"/>
  <c r="M66" i="80"/>
  <c r="M58" i="80"/>
  <c r="F53" i="47"/>
  <c r="F53" i="71"/>
  <c r="H112" i="76"/>
  <c r="H125" i="76" s="1"/>
  <c r="K66" i="74"/>
  <c r="K64" i="74"/>
  <c r="K62" i="74"/>
  <c r="K60" i="74"/>
  <c r="K58" i="74"/>
  <c r="K56" i="74"/>
  <c r="K54" i="74"/>
  <c r="E95" i="71"/>
  <c r="G95" i="71"/>
  <c r="K53" i="76"/>
  <c r="E101" i="76"/>
  <c r="G101" i="76"/>
  <c r="I101" i="76"/>
  <c r="G56" i="47"/>
  <c r="K54" i="47"/>
  <c r="K55" i="47"/>
  <c r="K56" i="47"/>
  <c r="K57" i="47"/>
  <c r="K58" i="47"/>
  <c r="K59" i="47"/>
  <c r="K60" i="47"/>
  <c r="K61" i="47"/>
  <c r="K62" i="47"/>
  <c r="L62" i="47" s="1"/>
  <c r="K63" i="47"/>
  <c r="K64" i="47"/>
  <c r="K65" i="47"/>
  <c r="K66" i="47"/>
  <c r="K67" i="47"/>
  <c r="E101" i="47"/>
  <c r="G101" i="47"/>
  <c r="I101" i="47"/>
  <c r="K54" i="71"/>
  <c r="K53" i="71"/>
  <c r="E101" i="71"/>
  <c r="E102" i="71" s="1"/>
  <c r="G101" i="71"/>
  <c r="I101" i="71"/>
  <c r="K53" i="72"/>
  <c r="K54" i="72"/>
  <c r="K55" i="72"/>
  <c r="K56" i="72"/>
  <c r="K57" i="72"/>
  <c r="L57" i="72" s="1"/>
  <c r="K58" i="72"/>
  <c r="K59" i="72"/>
  <c r="K60" i="72"/>
  <c r="K61" i="72"/>
  <c r="L61" i="72" s="1"/>
  <c r="K62" i="72"/>
  <c r="K63" i="72"/>
  <c r="K64" i="72"/>
  <c r="K65" i="72"/>
  <c r="L65" i="72" s="1"/>
  <c r="K66" i="72"/>
  <c r="K67" i="72"/>
  <c r="F101" i="72"/>
  <c r="H101" i="72"/>
  <c r="K54" i="73"/>
  <c r="L54" i="73" s="1"/>
  <c r="F101" i="73"/>
  <c r="H101" i="73"/>
  <c r="G60" i="72"/>
  <c r="D97" i="72"/>
  <c r="D101" i="72" s="1"/>
  <c r="G65" i="74"/>
  <c r="F54" i="74"/>
  <c r="F55" i="74"/>
  <c r="F56" i="74"/>
  <c r="F57" i="74"/>
  <c r="F58" i="74"/>
  <c r="J58" i="74" s="1"/>
  <c r="F59" i="74"/>
  <c r="J59" i="74" s="1"/>
  <c r="F60" i="74"/>
  <c r="F61" i="74"/>
  <c r="F62" i="74"/>
  <c r="J62" i="74" s="1"/>
  <c r="F63" i="74"/>
  <c r="J63" i="74" s="1"/>
  <c r="F64" i="74"/>
  <c r="F65" i="74"/>
  <c r="F66" i="74"/>
  <c r="F67" i="74"/>
  <c r="J67" i="74" s="1"/>
  <c r="D97" i="74"/>
  <c r="D101" i="74" s="1"/>
  <c r="G56" i="75"/>
  <c r="J56" i="75" s="1"/>
  <c r="D97" i="75"/>
  <c r="D101" i="75" s="1"/>
  <c r="F55" i="75"/>
  <c r="L55" i="75" s="1"/>
  <c r="F57" i="75"/>
  <c r="J57" i="75" s="1"/>
  <c r="F59" i="75"/>
  <c r="F61" i="75"/>
  <c r="F63" i="75"/>
  <c r="F65" i="75"/>
  <c r="L65" i="75" s="1"/>
  <c r="F67" i="75"/>
  <c r="L67" i="75" s="1"/>
  <c r="G56" i="78"/>
  <c r="F53" i="78"/>
  <c r="F54" i="78"/>
  <c r="F56" i="78"/>
  <c r="F58" i="78"/>
  <c r="F60" i="78"/>
  <c r="F62" i="78"/>
  <c r="F64" i="78"/>
  <c r="F66" i="78"/>
  <c r="L66" i="78" s="1"/>
  <c r="C9" i="78"/>
  <c r="C10" i="78"/>
  <c r="C11" i="78"/>
  <c r="C12" i="78"/>
  <c r="C95" i="78"/>
  <c r="C99" i="78"/>
  <c r="E99" i="78"/>
  <c r="G99" i="78"/>
  <c r="I99" i="78"/>
  <c r="E100" i="78"/>
  <c r="G100" i="78"/>
  <c r="G112" i="78" s="1"/>
  <c r="G125" i="78" s="1"/>
  <c r="I100" i="78"/>
  <c r="F102" i="78"/>
  <c r="H102" i="78"/>
  <c r="H112" i="78" s="1"/>
  <c r="H125" i="78" s="1"/>
  <c r="J102" i="78"/>
  <c r="J103" i="78"/>
  <c r="F106" i="78"/>
  <c r="F130" i="78" s="1"/>
  <c r="H106" i="78"/>
  <c r="H130" i="78" s="1"/>
  <c r="E107" i="78"/>
  <c r="E131" i="78" s="1"/>
  <c r="G107" i="78"/>
  <c r="G131" i="78" s="1"/>
  <c r="I107" i="78"/>
  <c r="I131" i="78" s="1"/>
  <c r="F108" i="78"/>
  <c r="H108" i="78"/>
  <c r="E111" i="78"/>
  <c r="G111" i="78"/>
  <c r="I111" i="78"/>
  <c r="E128" i="78"/>
  <c r="G128" i="78"/>
  <c r="I128" i="78"/>
  <c r="F129" i="78"/>
  <c r="H129" i="78"/>
  <c r="G53" i="80"/>
  <c r="G55" i="80"/>
  <c r="G61" i="80"/>
  <c r="G65" i="80"/>
  <c r="J65" i="80" s="1"/>
  <c r="F54" i="80"/>
  <c r="L54" i="80" s="1"/>
  <c r="F56" i="80"/>
  <c r="L56" i="80" s="1"/>
  <c r="F57" i="80"/>
  <c r="F59" i="80"/>
  <c r="F61" i="80"/>
  <c r="F63" i="80"/>
  <c r="F66" i="80"/>
  <c r="C9" i="80"/>
  <c r="C10" i="80"/>
  <c r="C11" i="80"/>
  <c r="C12" i="80"/>
  <c r="C95" i="80"/>
  <c r="D98" i="80"/>
  <c r="I103" i="80" s="1"/>
  <c r="D99" i="80"/>
  <c r="F99" i="80"/>
  <c r="H99" i="80"/>
  <c r="F100" i="80"/>
  <c r="H100" i="80"/>
  <c r="J100" i="80"/>
  <c r="E102" i="80"/>
  <c r="G102" i="80"/>
  <c r="I102" i="80"/>
  <c r="J103" i="80"/>
  <c r="F106" i="80"/>
  <c r="F130" i="80" s="1"/>
  <c r="H106" i="80"/>
  <c r="H109" i="80" s="1"/>
  <c r="E107" i="80"/>
  <c r="E131" i="80" s="1"/>
  <c r="G107" i="80"/>
  <c r="I107" i="80"/>
  <c r="I109" i="80" s="1"/>
  <c r="I110" i="80" s="1"/>
  <c r="F108" i="80"/>
  <c r="H108" i="80"/>
  <c r="E111" i="80"/>
  <c r="G111" i="80"/>
  <c r="I111" i="80"/>
  <c r="D123" i="80"/>
  <c r="D124" i="80"/>
  <c r="F128" i="80"/>
  <c r="H128" i="80"/>
  <c r="E129" i="80"/>
  <c r="G129" i="80"/>
  <c r="I129" i="80"/>
  <c r="J61" i="75"/>
  <c r="J64" i="74"/>
  <c r="G94" i="71"/>
  <c r="G99" i="71" s="1"/>
  <c r="D97" i="47"/>
  <c r="K54" i="78"/>
  <c r="K58" i="78"/>
  <c r="K62" i="78"/>
  <c r="L62" i="78" s="1"/>
  <c r="K64" i="78"/>
  <c r="F67" i="47"/>
  <c r="F65" i="47"/>
  <c r="L65" i="47" s="1"/>
  <c r="F63" i="47"/>
  <c r="F61" i="47"/>
  <c r="F59" i="47"/>
  <c r="F57" i="47"/>
  <c r="F55" i="47"/>
  <c r="J55" i="47" s="1"/>
  <c r="F67" i="71"/>
  <c r="F63" i="71"/>
  <c r="F59" i="71"/>
  <c r="F55" i="71"/>
  <c r="K53" i="78"/>
  <c r="F101" i="78"/>
  <c r="H101" i="78"/>
  <c r="K63" i="78"/>
  <c r="K65" i="78"/>
  <c r="K67" i="78"/>
  <c r="K61" i="78"/>
  <c r="K59" i="78"/>
  <c r="K57" i="78"/>
  <c r="L57" i="78" s="1"/>
  <c r="K55" i="78"/>
  <c r="L55" i="78" s="1"/>
  <c r="D94" i="78"/>
  <c r="H94" i="78" s="1"/>
  <c r="F54" i="71"/>
  <c r="F56" i="71"/>
  <c r="F58" i="71"/>
  <c r="F60" i="71"/>
  <c r="F62" i="71"/>
  <c r="F64" i="71"/>
  <c r="F66" i="71"/>
  <c r="G60" i="73"/>
  <c r="F53" i="73"/>
  <c r="L53" i="73" s="1"/>
  <c r="J72" i="73" s="1"/>
  <c r="F55" i="73"/>
  <c r="F57" i="73"/>
  <c r="J57" i="73" s="1"/>
  <c r="F58" i="73"/>
  <c r="L58" i="73" s="1"/>
  <c r="F59" i="73"/>
  <c r="J59" i="73" s="1"/>
  <c r="F60" i="73"/>
  <c r="F61" i="73"/>
  <c r="J61" i="73" s="1"/>
  <c r="F62" i="73"/>
  <c r="F63" i="73"/>
  <c r="L63" i="73" s="1"/>
  <c r="F64" i="73"/>
  <c r="F65" i="73"/>
  <c r="F66" i="73"/>
  <c r="F67" i="73"/>
  <c r="D97" i="73"/>
  <c r="D101" i="73" s="1"/>
  <c r="G54" i="76"/>
  <c r="G60" i="76"/>
  <c r="J60" i="76" s="1"/>
  <c r="F53" i="76"/>
  <c r="L53" i="76" s="1"/>
  <c r="J72" i="76" s="1"/>
  <c r="F55" i="76"/>
  <c r="J55" i="76" s="1"/>
  <c r="F57" i="76"/>
  <c r="J57" i="76" s="1"/>
  <c r="F59" i="76"/>
  <c r="J59" i="76" s="1"/>
  <c r="F61" i="76"/>
  <c r="J61" i="76" s="1"/>
  <c r="F63" i="76"/>
  <c r="J63" i="76" s="1"/>
  <c r="F65" i="76"/>
  <c r="F67" i="76"/>
  <c r="E11" i="76"/>
  <c r="E16" i="76"/>
  <c r="E48" i="76" s="1"/>
  <c r="I16" i="76"/>
  <c r="F17" i="76"/>
  <c r="E50" i="76"/>
  <c r="E52" i="76"/>
  <c r="K70" i="76"/>
  <c r="G57" i="79"/>
  <c r="F53" i="79"/>
  <c r="F54" i="79"/>
  <c r="F56" i="79"/>
  <c r="F58" i="79"/>
  <c r="F60" i="79"/>
  <c r="F62" i="79"/>
  <c r="F64" i="79"/>
  <c r="F66" i="79"/>
  <c r="J66" i="79" s="1"/>
  <c r="E9" i="79"/>
  <c r="E10" i="79"/>
  <c r="E11" i="79"/>
  <c r="C94" i="79"/>
  <c r="D99" i="79"/>
  <c r="F99" i="79"/>
  <c r="H99" i="79"/>
  <c r="F100" i="79"/>
  <c r="H100" i="79"/>
  <c r="H112" i="79" s="1"/>
  <c r="H125" i="79" s="1"/>
  <c r="J100" i="79"/>
  <c r="E102" i="79"/>
  <c r="E112" i="79" s="1"/>
  <c r="E125" i="79" s="1"/>
  <c r="G102" i="79"/>
  <c r="I102" i="79"/>
  <c r="J103" i="79"/>
  <c r="F106" i="79"/>
  <c r="F130" i="79" s="1"/>
  <c r="H106" i="79"/>
  <c r="H130" i="79" s="1"/>
  <c r="E107" i="79"/>
  <c r="E131" i="79" s="1"/>
  <c r="G107" i="79"/>
  <c r="G109" i="79" s="1"/>
  <c r="I107" i="79"/>
  <c r="I131" i="79" s="1"/>
  <c r="F108" i="79"/>
  <c r="H108" i="79"/>
  <c r="E111" i="79"/>
  <c r="G111" i="79"/>
  <c r="I111" i="79"/>
  <c r="D123" i="79"/>
  <c r="D124" i="79"/>
  <c r="E128" i="79"/>
  <c r="G128" i="79"/>
  <c r="I128" i="79"/>
  <c r="F129" i="79"/>
  <c r="H129" i="79"/>
  <c r="J56" i="74"/>
  <c r="G64" i="72"/>
  <c r="G64" i="78"/>
  <c r="G67" i="80"/>
  <c r="G59" i="80"/>
  <c r="G54" i="72"/>
  <c r="G54" i="73"/>
  <c r="G54" i="78"/>
  <c r="J54" i="78" s="1"/>
  <c r="I94" i="73"/>
  <c r="I94" i="72"/>
  <c r="I95" i="71"/>
  <c r="G57" i="80"/>
  <c r="J57" i="80" s="1"/>
  <c r="O49" i="81"/>
  <c r="O51" i="81"/>
  <c r="O53" i="81"/>
  <c r="O55" i="81"/>
  <c r="O57" i="81"/>
  <c r="O59" i="81"/>
  <c r="P50" i="81"/>
  <c r="P52" i="81"/>
  <c r="P54" i="81"/>
  <c r="P56" i="81"/>
  <c r="P58" i="81"/>
  <c r="G54" i="71"/>
  <c r="K54" i="75"/>
  <c r="G53" i="79"/>
  <c r="K60" i="80"/>
  <c r="L60" i="80" s="1"/>
  <c r="K53" i="80"/>
  <c r="I94" i="47"/>
  <c r="G103" i="78"/>
  <c r="L64" i="74"/>
  <c r="G55" i="74"/>
  <c r="G54" i="80"/>
  <c r="I111" i="71"/>
  <c r="G111" i="71"/>
  <c r="I102" i="71"/>
  <c r="I112" i="71" s="1"/>
  <c r="I125" i="71" s="1"/>
  <c r="G64" i="71"/>
  <c r="G56" i="71"/>
  <c r="I108" i="71"/>
  <c r="G108" i="71"/>
  <c r="F95" i="71"/>
  <c r="F94" i="71"/>
  <c r="I103" i="72"/>
  <c r="F109" i="74"/>
  <c r="F110" i="74" s="1"/>
  <c r="E130" i="80"/>
  <c r="K67" i="71"/>
  <c r="K66" i="71"/>
  <c r="K65" i="71"/>
  <c r="K64" i="71"/>
  <c r="K63" i="71"/>
  <c r="K62" i="71"/>
  <c r="K61" i="71"/>
  <c r="K60" i="71"/>
  <c r="K59" i="71"/>
  <c r="K58" i="71"/>
  <c r="K57" i="71"/>
  <c r="K56" i="71"/>
  <c r="K55" i="71"/>
  <c r="K56" i="73"/>
  <c r="K55" i="73"/>
  <c r="K66" i="80"/>
  <c r="L66" i="80" s="1"/>
  <c r="K62" i="80"/>
  <c r="K58" i="80"/>
  <c r="F53" i="80"/>
  <c r="G66" i="71"/>
  <c r="G62" i="71"/>
  <c r="G58" i="71"/>
  <c r="G53" i="71"/>
  <c r="G66" i="72"/>
  <c r="G62" i="72"/>
  <c r="J62" i="72" s="1"/>
  <c r="G58" i="72"/>
  <c r="G53" i="72"/>
  <c r="G66" i="73"/>
  <c r="G62" i="73"/>
  <c r="G58" i="73"/>
  <c r="G61" i="74"/>
  <c r="G53" i="74"/>
  <c r="G60" i="75"/>
  <c r="J60" i="75" s="1"/>
  <c r="G64" i="76"/>
  <c r="J64" i="76" s="1"/>
  <c r="G56" i="76"/>
  <c r="J56" i="76" s="1"/>
  <c r="G60" i="78"/>
  <c r="G67" i="79"/>
  <c r="G61" i="79"/>
  <c r="G55" i="79"/>
  <c r="G66" i="80"/>
  <c r="J66" i="80" s="1"/>
  <c r="G64" i="80"/>
  <c r="G62" i="80"/>
  <c r="G60" i="80"/>
  <c r="G58" i="80"/>
  <c r="G56" i="80"/>
  <c r="G53" i="73"/>
  <c r="E94" i="47"/>
  <c r="E111" i="47" s="1"/>
  <c r="G94" i="47"/>
  <c r="G99" i="47" s="1"/>
  <c r="I103" i="73"/>
  <c r="E112" i="75"/>
  <c r="E125" i="75" s="1"/>
  <c r="H95" i="75"/>
  <c r="H94" i="75"/>
  <c r="F101" i="75"/>
  <c r="I103" i="78"/>
  <c r="E103" i="78"/>
  <c r="K67" i="79"/>
  <c r="L67" i="79" s="1"/>
  <c r="K66" i="79"/>
  <c r="L66" i="79" s="1"/>
  <c r="K65" i="79"/>
  <c r="K64" i="79"/>
  <c r="K63" i="79"/>
  <c r="K62" i="79"/>
  <c r="K61" i="79"/>
  <c r="G63" i="79"/>
  <c r="G59" i="79"/>
  <c r="G95" i="47"/>
  <c r="E95" i="47"/>
  <c r="E95" i="80"/>
  <c r="G95" i="80"/>
  <c r="I95" i="80"/>
  <c r="I103" i="71"/>
  <c r="F94" i="72"/>
  <c r="F95" i="73"/>
  <c r="F94" i="73"/>
  <c r="G112" i="74"/>
  <c r="G125" i="74" s="1"/>
  <c r="E112" i="74"/>
  <c r="E125" i="74" s="1"/>
  <c r="F109" i="75"/>
  <c r="F110" i="75" s="1"/>
  <c r="F113" i="75" s="1"/>
  <c r="F126" i="75" s="1"/>
  <c r="F131" i="76"/>
  <c r="H101" i="75"/>
  <c r="H95" i="79"/>
  <c r="H94" i="79"/>
  <c r="G131" i="80"/>
  <c r="L65" i="73"/>
  <c r="L56" i="74"/>
  <c r="K60" i="79"/>
  <c r="K59" i="79"/>
  <c r="L59" i="79" s="1"/>
  <c r="K58" i="79"/>
  <c r="L58" i="79" s="1"/>
  <c r="K57" i="79"/>
  <c r="K56" i="79"/>
  <c r="G64" i="75"/>
  <c r="J64" i="75" s="1"/>
  <c r="G54" i="79"/>
  <c r="F99" i="47"/>
  <c r="E95" i="72"/>
  <c r="G95" i="72"/>
  <c r="F95" i="72"/>
  <c r="I95" i="72"/>
  <c r="G132" i="74"/>
  <c r="G135" i="74" s="1"/>
  <c r="H95" i="47"/>
  <c r="H94" i="47"/>
  <c r="G103" i="73"/>
  <c r="H109" i="74"/>
  <c r="H110" i="74" s="1"/>
  <c r="H113" i="74" s="1"/>
  <c r="H126" i="74" s="1"/>
  <c r="E71" i="74"/>
  <c r="G103" i="75"/>
  <c r="F94" i="75"/>
  <c r="I109" i="76"/>
  <c r="I110" i="76" s="1"/>
  <c r="I113" i="76" s="1"/>
  <c r="I126" i="76" s="1"/>
  <c r="F112" i="76"/>
  <c r="F125" i="76" s="1"/>
  <c r="F94" i="76"/>
  <c r="F95" i="78"/>
  <c r="F94" i="78"/>
  <c r="L60" i="78"/>
  <c r="E130" i="79"/>
  <c r="F94" i="79"/>
  <c r="F95" i="80"/>
  <c r="F94" i="80"/>
  <c r="L54" i="72"/>
  <c r="L60" i="74"/>
  <c r="K54" i="79"/>
  <c r="H132" i="74"/>
  <c r="H135" i="74" s="1"/>
  <c r="H134" i="74"/>
  <c r="E95" i="76"/>
  <c r="I95" i="76"/>
  <c r="F95" i="76"/>
  <c r="F113" i="74"/>
  <c r="F126" i="74" s="1"/>
  <c r="G132" i="76"/>
  <c r="G135" i="76" s="1"/>
  <c r="E71" i="73"/>
  <c r="G134" i="74"/>
  <c r="G134" i="76"/>
  <c r="I95" i="47"/>
  <c r="E99" i="47"/>
  <c r="F112" i="73"/>
  <c r="F125" i="73" s="1"/>
  <c r="H95" i="73"/>
  <c r="H94" i="73"/>
  <c r="F131" i="74"/>
  <c r="F134" i="74" s="1"/>
  <c r="I130" i="74"/>
  <c r="G109" i="74"/>
  <c r="G110" i="74" s="1"/>
  <c r="G113" i="74" s="1"/>
  <c r="G126" i="74" s="1"/>
  <c r="E109" i="74"/>
  <c r="E110" i="74" s="1"/>
  <c r="E113" i="74" s="1"/>
  <c r="E126" i="74" s="1"/>
  <c r="H112" i="74"/>
  <c r="H125" i="74" s="1"/>
  <c r="F95" i="75"/>
  <c r="H130" i="76"/>
  <c r="G109" i="76"/>
  <c r="G110" i="76" s="1"/>
  <c r="G103" i="76"/>
  <c r="I112" i="76"/>
  <c r="I125" i="76" s="1"/>
  <c r="G112" i="76"/>
  <c r="G125" i="76" s="1"/>
  <c r="H109" i="78"/>
  <c r="H103" i="78"/>
  <c r="L65" i="78"/>
  <c r="F95" i="79"/>
  <c r="H95" i="80"/>
  <c r="H94" i="80"/>
  <c r="L53" i="74"/>
  <c r="J72" i="74" s="1"/>
  <c r="K53" i="79"/>
  <c r="E48" i="74"/>
  <c r="E95" i="74"/>
  <c r="H95" i="74"/>
  <c r="F95" i="47"/>
  <c r="F111" i="47" s="1"/>
  <c r="H95" i="71"/>
  <c r="H94" i="71"/>
  <c r="H95" i="72"/>
  <c r="H94" i="72"/>
  <c r="H103" i="73"/>
  <c r="I95" i="75"/>
  <c r="G95" i="75"/>
  <c r="I94" i="75"/>
  <c r="G94" i="75"/>
  <c r="H95" i="76"/>
  <c r="H94" i="76"/>
  <c r="H95" i="78"/>
  <c r="I95" i="79"/>
  <c r="G95" i="79"/>
  <c r="I94" i="79"/>
  <c r="G94" i="79"/>
  <c r="K67" i="76"/>
  <c r="K65" i="76"/>
  <c r="K63" i="76"/>
  <c r="K61" i="76"/>
  <c r="K59" i="76"/>
  <c r="K57" i="76"/>
  <c r="K55" i="76"/>
  <c r="N57" i="71" l="1"/>
  <c r="N61" i="71"/>
  <c r="J63" i="71"/>
  <c r="M65" i="71"/>
  <c r="G102" i="71"/>
  <c r="G112" i="71" s="1"/>
  <c r="G125" i="71" s="1"/>
  <c r="L59" i="71"/>
  <c r="M54" i="71"/>
  <c r="M60" i="71"/>
  <c r="M59" i="71"/>
  <c r="N55" i="71"/>
  <c r="J67" i="71"/>
  <c r="N58" i="71"/>
  <c r="M67" i="71"/>
  <c r="M55" i="71"/>
  <c r="N60" i="71"/>
  <c r="N65" i="71"/>
  <c r="J65" i="71"/>
  <c r="M61" i="71"/>
  <c r="N64" i="71"/>
  <c r="N66" i="71"/>
  <c r="M58" i="71"/>
  <c r="N56" i="71"/>
  <c r="M56" i="71"/>
  <c r="M57" i="71"/>
  <c r="M53" i="71"/>
  <c r="N53" i="71"/>
  <c r="M64" i="71"/>
  <c r="J57" i="71"/>
  <c r="N54" i="71"/>
  <c r="J55" i="71"/>
  <c r="L65" i="71"/>
  <c r="E112" i="71"/>
  <c r="E125" i="71" s="1"/>
  <c r="D101" i="71"/>
  <c r="D99" i="71"/>
  <c r="E71" i="71"/>
  <c r="H103" i="71"/>
  <c r="G103" i="80"/>
  <c r="L53" i="80"/>
  <c r="J72" i="80" s="1"/>
  <c r="J54" i="80"/>
  <c r="F103" i="76"/>
  <c r="I103" i="76"/>
  <c r="E109" i="76"/>
  <c r="L63" i="75"/>
  <c r="J65" i="73"/>
  <c r="L60" i="73"/>
  <c r="L61" i="71"/>
  <c r="J70" i="71"/>
  <c r="J73" i="71" s="1"/>
  <c r="I108" i="47"/>
  <c r="F108" i="47"/>
  <c r="F102" i="47"/>
  <c r="L55" i="74"/>
  <c r="J60" i="72"/>
  <c r="L58" i="76"/>
  <c r="J56" i="72"/>
  <c r="J54" i="47"/>
  <c r="F112" i="80"/>
  <c r="F125" i="80" s="1"/>
  <c r="J59" i="72"/>
  <c r="I112" i="74"/>
  <c r="I125" i="74" s="1"/>
  <c r="E134" i="74"/>
  <c r="E134" i="76"/>
  <c r="E48" i="47"/>
  <c r="E134" i="73"/>
  <c r="E48" i="78"/>
  <c r="E94" i="73"/>
  <c r="G94" i="73"/>
  <c r="L62" i="72"/>
  <c r="E112" i="78"/>
  <c r="E125" i="78" s="1"/>
  <c r="E112" i="76"/>
  <c r="E125" i="76" s="1"/>
  <c r="J67" i="72"/>
  <c r="J60" i="74"/>
  <c r="J65" i="75"/>
  <c r="J66" i="78"/>
  <c r="J56" i="47"/>
  <c r="E71" i="72"/>
  <c r="L63" i="79"/>
  <c r="L59" i="75"/>
  <c r="L55" i="72"/>
  <c r="F109" i="76"/>
  <c r="F110" i="76" s="1"/>
  <c r="F113" i="76" s="1"/>
  <c r="F126" i="76" s="1"/>
  <c r="I112" i="79"/>
  <c r="I125" i="79" s="1"/>
  <c r="J59" i="78"/>
  <c r="E132" i="74"/>
  <c r="E135" i="74" s="1"/>
  <c r="F112" i="74"/>
  <c r="F125" i="74" s="1"/>
  <c r="J60" i="71"/>
  <c r="L64" i="76"/>
  <c r="I134" i="76"/>
  <c r="E132" i="76"/>
  <c r="E135" i="76" s="1"/>
  <c r="F134" i="80"/>
  <c r="L59" i="80"/>
  <c r="L56" i="78"/>
  <c r="E110" i="76"/>
  <c r="E113" i="76" s="1"/>
  <c r="E126" i="76" s="1"/>
  <c r="G103" i="74"/>
  <c r="G103" i="72"/>
  <c r="H109" i="76"/>
  <c r="H110" i="76" s="1"/>
  <c r="H113" i="76" s="1"/>
  <c r="H126" i="76" s="1"/>
  <c r="J63" i="79"/>
  <c r="I109" i="74"/>
  <c r="I110" i="74" s="1"/>
  <c r="I113" i="74" s="1"/>
  <c r="I126" i="74" s="1"/>
  <c r="J53" i="79"/>
  <c r="J71" i="79" s="1"/>
  <c r="F112" i="79"/>
  <c r="F125" i="79" s="1"/>
  <c r="J59" i="71"/>
  <c r="L57" i="75"/>
  <c r="J67" i="73"/>
  <c r="F103" i="71"/>
  <c r="E103" i="71"/>
  <c r="H134" i="76"/>
  <c r="H103" i="74"/>
  <c r="H103" i="72"/>
  <c r="J59" i="79"/>
  <c r="J60" i="79"/>
  <c r="L54" i="71"/>
  <c r="G109" i="78"/>
  <c r="G110" i="78" s="1"/>
  <c r="G113" i="76"/>
  <c r="G126" i="76" s="1"/>
  <c r="L54" i="79"/>
  <c r="F131" i="72"/>
  <c r="I109" i="78"/>
  <c r="I110" i="78" s="1"/>
  <c r="I113" i="78" s="1"/>
  <c r="I126" i="78" s="1"/>
  <c r="F134" i="76"/>
  <c r="L57" i="71"/>
  <c r="F103" i="80"/>
  <c r="J65" i="76"/>
  <c r="J63" i="80"/>
  <c r="E132" i="72"/>
  <c r="E135" i="72" s="1"/>
  <c r="H134" i="72"/>
  <c r="E134" i="72"/>
  <c r="L66" i="72"/>
  <c r="D129" i="72"/>
  <c r="E94" i="80"/>
  <c r="G94" i="80"/>
  <c r="I94" i="80"/>
  <c r="L61" i="47"/>
  <c r="L59" i="47"/>
  <c r="L66" i="47"/>
  <c r="L56" i="47"/>
  <c r="L67" i="47"/>
  <c r="L67" i="73"/>
  <c r="L63" i="72"/>
  <c r="L53" i="79"/>
  <c r="J72" i="79" s="1"/>
  <c r="E109" i="78"/>
  <c r="E110" i="78" s="1"/>
  <c r="L58" i="72"/>
  <c r="J55" i="79"/>
  <c r="E70" i="72"/>
  <c r="D108" i="72" s="1"/>
  <c r="G112" i="79"/>
  <c r="G125" i="79" s="1"/>
  <c r="L62" i="73"/>
  <c r="H103" i="76"/>
  <c r="E48" i="80"/>
  <c r="L55" i="79"/>
  <c r="E94" i="76"/>
  <c r="L67" i="78"/>
  <c r="H112" i="80"/>
  <c r="H125" i="80" s="1"/>
  <c r="J55" i="80"/>
  <c r="F134" i="78"/>
  <c r="F112" i="78"/>
  <c r="F125" i="78" s="1"/>
  <c r="J60" i="78"/>
  <c r="E102" i="47"/>
  <c r="E112" i="47" s="1"/>
  <c r="E125" i="47" s="1"/>
  <c r="F132" i="75"/>
  <c r="F135" i="75" s="1"/>
  <c r="F132" i="72"/>
  <c r="F135" i="72" s="1"/>
  <c r="I134" i="72"/>
  <c r="E48" i="72"/>
  <c r="E132" i="80"/>
  <c r="E135" i="80" s="1"/>
  <c r="E71" i="75"/>
  <c r="E71" i="47"/>
  <c r="L61" i="80"/>
  <c r="J63" i="72"/>
  <c r="L59" i="78"/>
  <c r="J62" i="78"/>
  <c r="G112" i="73"/>
  <c r="G125" i="73" s="1"/>
  <c r="J58" i="78"/>
  <c r="E71" i="78"/>
  <c r="E48" i="73"/>
  <c r="E109" i="79"/>
  <c r="E110" i="79" s="1"/>
  <c r="E113" i="79" s="1"/>
  <c r="E126" i="79" s="1"/>
  <c r="E48" i="79"/>
  <c r="J65" i="72"/>
  <c r="J61" i="71"/>
  <c r="J64" i="78"/>
  <c r="L59" i="73"/>
  <c r="L61" i="76"/>
  <c r="E109" i="72"/>
  <c r="E110" i="72" s="1"/>
  <c r="E113" i="72" s="1"/>
  <c r="E126" i="72" s="1"/>
  <c r="J53" i="73"/>
  <c r="J71" i="73" s="1"/>
  <c r="L62" i="71"/>
  <c r="J64" i="80"/>
  <c r="J62" i="71"/>
  <c r="L55" i="71"/>
  <c r="J54" i="71"/>
  <c r="G110" i="79"/>
  <c r="G113" i="79" s="1"/>
  <c r="G126" i="79" s="1"/>
  <c r="J55" i="73"/>
  <c r="L64" i="71"/>
  <c r="L64" i="78"/>
  <c r="L61" i="75"/>
  <c r="J54" i="74"/>
  <c r="I134" i="75"/>
  <c r="H112" i="72"/>
  <c r="H125" i="72" s="1"/>
  <c r="E71" i="80"/>
  <c r="I132" i="76"/>
  <c r="I135" i="76" s="1"/>
  <c r="H132" i="75"/>
  <c r="H135" i="75" s="1"/>
  <c r="E134" i="75"/>
  <c r="G132" i="75"/>
  <c r="G135" i="75" s="1"/>
  <c r="H134" i="73"/>
  <c r="H109" i="73"/>
  <c r="H110" i="73" s="1"/>
  <c r="H113" i="73" s="1"/>
  <c r="H126" i="73" s="1"/>
  <c r="E78" i="78"/>
  <c r="D111" i="78" s="1"/>
  <c r="F134" i="73"/>
  <c r="J54" i="73"/>
  <c r="M59" i="78"/>
  <c r="N59" i="78"/>
  <c r="N57" i="78"/>
  <c r="M57" i="78"/>
  <c r="H132" i="73"/>
  <c r="H135" i="73" s="1"/>
  <c r="L67" i="71"/>
  <c r="L57" i="79"/>
  <c r="J74" i="76"/>
  <c r="D102" i="76" s="1"/>
  <c r="J58" i="80"/>
  <c r="J53" i="74"/>
  <c r="J71" i="74" s="1"/>
  <c r="J55" i="74"/>
  <c r="E48" i="75"/>
  <c r="G134" i="72"/>
  <c r="L60" i="72"/>
  <c r="J64" i="47"/>
  <c r="L65" i="80"/>
  <c r="M57" i="74"/>
  <c r="L67" i="72"/>
  <c r="E132" i="73"/>
  <c r="E135" i="73" s="1"/>
  <c r="J57" i="78"/>
  <c r="J56" i="79"/>
  <c r="H112" i="73"/>
  <c r="H125" i="73" s="1"/>
  <c r="I112" i="78"/>
  <c r="I125" i="78" s="1"/>
  <c r="L61" i="78"/>
  <c r="J64" i="79"/>
  <c r="M54" i="80"/>
  <c r="M57" i="79"/>
  <c r="E72" i="79" s="1"/>
  <c r="N57" i="79"/>
  <c r="N61" i="79"/>
  <c r="M61" i="79"/>
  <c r="N62" i="75"/>
  <c r="M59" i="76"/>
  <c r="N59" i="76"/>
  <c r="N54" i="74"/>
  <c r="M54" i="74"/>
  <c r="H110" i="78"/>
  <c r="H113" i="78" s="1"/>
  <c r="H126" i="78" s="1"/>
  <c r="E134" i="80"/>
  <c r="I112" i="80"/>
  <c r="I125" i="80" s="1"/>
  <c r="I132" i="78"/>
  <c r="I135" i="78" s="1"/>
  <c r="L64" i="47"/>
  <c r="G134" i="75"/>
  <c r="J66" i="75"/>
  <c r="E78" i="76"/>
  <c r="D111" i="76" s="1"/>
  <c r="J70" i="78"/>
  <c r="J73" i="78" s="1"/>
  <c r="D100" i="78" s="1"/>
  <c r="J65" i="78"/>
  <c r="J70" i="80"/>
  <c r="J74" i="80" s="1"/>
  <c r="D102" i="80" s="1"/>
  <c r="E112" i="80"/>
  <c r="E125" i="80" s="1"/>
  <c r="L63" i="78"/>
  <c r="M60" i="80"/>
  <c r="N60" i="80"/>
  <c r="N64" i="79"/>
  <c r="M64" i="79"/>
  <c r="M61" i="78"/>
  <c r="N61" i="78"/>
  <c r="N54" i="75"/>
  <c r="M54" i="75"/>
  <c r="J53" i="71"/>
  <c r="J58" i="79"/>
  <c r="J53" i="78"/>
  <c r="J71" i="78" s="1"/>
  <c r="J76" i="78" s="1"/>
  <c r="J70" i="75"/>
  <c r="J73" i="75" s="1"/>
  <c r="D100" i="75" s="1"/>
  <c r="L59" i="76"/>
  <c r="L67" i="76"/>
  <c r="H103" i="75"/>
  <c r="G109" i="73"/>
  <c r="G110" i="73" s="1"/>
  <c r="G113" i="73" s="1"/>
  <c r="G126" i="73" s="1"/>
  <c r="F134" i="72"/>
  <c r="I103" i="75"/>
  <c r="I109" i="72"/>
  <c r="I110" i="72" s="1"/>
  <c r="I113" i="72" s="1"/>
  <c r="I126" i="72" s="1"/>
  <c r="J61" i="79"/>
  <c r="J58" i="72"/>
  <c r="L58" i="80"/>
  <c r="J54" i="72"/>
  <c r="I134" i="79"/>
  <c r="L54" i="78"/>
  <c r="G134" i="78"/>
  <c r="J56" i="78"/>
  <c r="L66" i="74"/>
  <c r="L58" i="74"/>
  <c r="L58" i="75"/>
  <c r="E71" i="79"/>
  <c r="L57" i="80"/>
  <c r="J58" i="47"/>
  <c r="N60" i="75"/>
  <c r="J70" i="73"/>
  <c r="J73" i="73" s="1"/>
  <c r="D100" i="73" s="1"/>
  <c r="L65" i="79"/>
  <c r="F103" i="74"/>
  <c r="E103" i="74"/>
  <c r="N61" i="76"/>
  <c r="M61" i="76"/>
  <c r="L60" i="47"/>
  <c r="J65" i="47"/>
  <c r="I134" i="78"/>
  <c r="F132" i="73"/>
  <c r="F135" i="73" s="1"/>
  <c r="E70" i="80"/>
  <c r="F109" i="79"/>
  <c r="F110" i="79" s="1"/>
  <c r="F113" i="79" s="1"/>
  <c r="F126" i="79" s="1"/>
  <c r="I132" i="79"/>
  <c r="I135" i="79" s="1"/>
  <c r="E134" i="79"/>
  <c r="J67" i="79"/>
  <c r="L56" i="73"/>
  <c r="L58" i="71"/>
  <c r="L66" i="71"/>
  <c r="F132" i="79"/>
  <c r="F135" i="79" s="1"/>
  <c r="E78" i="71"/>
  <c r="D111" i="71" s="1"/>
  <c r="E78" i="47"/>
  <c r="D111" i="47" s="1"/>
  <c r="E70" i="47"/>
  <c r="D108" i="47" s="1"/>
  <c r="N58" i="75"/>
  <c r="M58" i="75"/>
  <c r="E72" i="75" s="1"/>
  <c r="L55" i="76"/>
  <c r="E134" i="78"/>
  <c r="E109" i="73"/>
  <c r="E110" i="73" s="1"/>
  <c r="E113" i="73" s="1"/>
  <c r="E126" i="73" s="1"/>
  <c r="G109" i="72"/>
  <c r="G110" i="72" s="1"/>
  <c r="G113" i="72" s="1"/>
  <c r="G126" i="72" s="1"/>
  <c r="H103" i="47"/>
  <c r="L53" i="78"/>
  <c r="J72" i="78" s="1"/>
  <c r="J74" i="78" s="1"/>
  <c r="E70" i="79"/>
  <c r="L59" i="74"/>
  <c r="H130" i="80"/>
  <c r="H132" i="80" s="1"/>
  <c r="H135" i="80" s="1"/>
  <c r="E132" i="75"/>
  <c r="E135" i="75" s="1"/>
  <c r="L61" i="79"/>
  <c r="L53" i="75"/>
  <c r="J72" i="75" s="1"/>
  <c r="L67" i="74"/>
  <c r="J67" i="80"/>
  <c r="J63" i="73"/>
  <c r="L63" i="47"/>
  <c r="J66" i="74"/>
  <c r="I113" i="80"/>
  <c r="I126" i="80" s="1"/>
  <c r="F109" i="80"/>
  <c r="F110" i="80" s="1"/>
  <c r="F113" i="80" s="1"/>
  <c r="F126" i="80" s="1"/>
  <c r="H132" i="78"/>
  <c r="H135" i="78" s="1"/>
  <c r="L65" i="74"/>
  <c r="L61" i="74"/>
  <c r="J57" i="74"/>
  <c r="L59" i="72"/>
  <c r="L58" i="47"/>
  <c r="L54" i="47"/>
  <c r="L54" i="74"/>
  <c r="L62" i="74"/>
  <c r="M62" i="78"/>
  <c r="H134" i="75"/>
  <c r="E78" i="73"/>
  <c r="D111" i="73" s="1"/>
  <c r="H132" i="72"/>
  <c r="H135" i="72" s="1"/>
  <c r="F113" i="72"/>
  <c r="F126" i="72" s="1"/>
  <c r="L64" i="72"/>
  <c r="E78" i="72"/>
  <c r="D111" i="72" s="1"/>
  <c r="J58" i="76"/>
  <c r="L66" i="76"/>
  <c r="N65" i="78"/>
  <c r="E78" i="79"/>
  <c r="D111" i="79" s="1"/>
  <c r="N54" i="79"/>
  <c r="E73" i="79" s="1"/>
  <c r="D107" i="79" s="1"/>
  <c r="D131" i="79" s="1"/>
  <c r="M54" i="79"/>
  <c r="E103" i="73"/>
  <c r="J70" i="72"/>
  <c r="J73" i="72" s="1"/>
  <c r="L53" i="71"/>
  <c r="D129" i="75"/>
  <c r="N57" i="80"/>
  <c r="M57" i="80"/>
  <c r="J74" i="74"/>
  <c r="D102" i="74" s="1"/>
  <c r="E70" i="78"/>
  <c r="D108" i="78" s="1"/>
  <c r="F132" i="80"/>
  <c r="F135" i="80" s="1"/>
  <c r="L64" i="79"/>
  <c r="J56" i="80"/>
  <c r="J58" i="71"/>
  <c r="L54" i="75"/>
  <c r="J62" i="79"/>
  <c r="J64" i="73"/>
  <c r="M63" i="71"/>
  <c r="G112" i="80"/>
  <c r="G125" i="80" s="1"/>
  <c r="E78" i="80"/>
  <c r="D111" i="80" s="1"/>
  <c r="I131" i="73"/>
  <c r="I109" i="73"/>
  <c r="I110" i="73" s="1"/>
  <c r="I113" i="73" s="1"/>
  <c r="I126" i="73" s="1"/>
  <c r="L63" i="76"/>
  <c r="G131" i="79"/>
  <c r="G134" i="79" s="1"/>
  <c r="L61" i="73"/>
  <c r="F109" i="78"/>
  <c r="F110" i="78" s="1"/>
  <c r="F113" i="78" s="1"/>
  <c r="F126" i="78" s="1"/>
  <c r="I132" i="75"/>
  <c r="I135" i="75" s="1"/>
  <c r="F109" i="73"/>
  <c r="F110" i="73" s="1"/>
  <c r="F113" i="73" s="1"/>
  <c r="F126" i="73" s="1"/>
  <c r="L57" i="76"/>
  <c r="L65" i="76"/>
  <c r="G134" i="73"/>
  <c r="E113" i="78"/>
  <c r="E126" i="78" s="1"/>
  <c r="G109" i="75"/>
  <c r="G110" i="75" s="1"/>
  <c r="G113" i="75" s="1"/>
  <c r="G126" i="75" s="1"/>
  <c r="H109" i="72"/>
  <c r="H110" i="72" s="1"/>
  <c r="F132" i="76"/>
  <c r="F135" i="76" s="1"/>
  <c r="I109" i="79"/>
  <c r="I110" i="79" s="1"/>
  <c r="I113" i="79" s="1"/>
  <c r="I126" i="79" s="1"/>
  <c r="F134" i="75"/>
  <c r="E108" i="47"/>
  <c r="L56" i="79"/>
  <c r="L60" i="79"/>
  <c r="L63" i="71"/>
  <c r="G134" i="80"/>
  <c r="L62" i="79"/>
  <c r="J60" i="80"/>
  <c r="J76" i="74"/>
  <c r="J66" i="72"/>
  <c r="J66" i="71"/>
  <c r="G109" i="80"/>
  <c r="G110" i="80" s="1"/>
  <c r="G113" i="80" s="1"/>
  <c r="G126" i="80" s="1"/>
  <c r="J64" i="71"/>
  <c r="L57" i="73"/>
  <c r="L63" i="74"/>
  <c r="H134" i="79"/>
  <c r="J57" i="79"/>
  <c r="L66" i="73"/>
  <c r="L60" i="71"/>
  <c r="J57" i="47"/>
  <c r="L58" i="78"/>
  <c r="J55" i="75"/>
  <c r="M58" i="76"/>
  <c r="E78" i="75"/>
  <c r="D111" i="75" s="1"/>
  <c r="J66" i="47"/>
  <c r="J70" i="47"/>
  <c r="J73" i="47" s="1"/>
  <c r="D100" i="47" s="1"/>
  <c r="M67" i="76"/>
  <c r="E78" i="74"/>
  <c r="D111" i="74" s="1"/>
  <c r="N56" i="78"/>
  <c r="M56" i="78"/>
  <c r="N65" i="80"/>
  <c r="M65" i="80"/>
  <c r="M55" i="76"/>
  <c r="N55" i="76"/>
  <c r="N56" i="76"/>
  <c r="M56" i="76"/>
  <c r="J54" i="75"/>
  <c r="J73" i="74"/>
  <c r="D100" i="74" s="1"/>
  <c r="N62" i="74"/>
  <c r="M62" i="74"/>
  <c r="M63" i="74"/>
  <c r="N63" i="74"/>
  <c r="M54" i="73"/>
  <c r="N54" i="73"/>
  <c r="M55" i="73"/>
  <c r="N55" i="73"/>
  <c r="D128" i="72"/>
  <c r="M58" i="72"/>
  <c r="N58" i="72"/>
  <c r="M59" i="72"/>
  <c r="N59" i="72"/>
  <c r="N62" i="71"/>
  <c r="M62" i="71"/>
  <c r="M63" i="47"/>
  <c r="N63" i="47"/>
  <c r="M55" i="47"/>
  <c r="N55" i="47"/>
  <c r="M55" i="80"/>
  <c r="N55" i="80"/>
  <c r="M56" i="80"/>
  <c r="N56" i="80"/>
  <c r="N63" i="78"/>
  <c r="M63" i="78"/>
  <c r="N64" i="78"/>
  <c r="M64" i="78"/>
  <c r="N64" i="74"/>
  <c r="M64" i="74"/>
  <c r="N65" i="74"/>
  <c r="M65" i="74"/>
  <c r="M53" i="47"/>
  <c r="N53" i="47"/>
  <c r="M59" i="47"/>
  <c r="N59" i="47"/>
  <c r="M65" i="47"/>
  <c r="N65" i="47"/>
  <c r="M67" i="47"/>
  <c r="N67" i="47"/>
  <c r="F94" i="74"/>
  <c r="G94" i="74"/>
  <c r="M62" i="47"/>
  <c r="N62" i="47"/>
  <c r="M61" i="47"/>
  <c r="N61" i="47"/>
  <c r="J62" i="76"/>
  <c r="J70" i="79"/>
  <c r="J73" i="79" s="1"/>
  <c r="H109" i="79"/>
  <c r="H110" i="79" s="1"/>
  <c r="H113" i="79" s="1"/>
  <c r="H126" i="79" s="1"/>
  <c r="E70" i="74"/>
  <c r="H94" i="74"/>
  <c r="J54" i="79"/>
  <c r="L55" i="73"/>
  <c r="L56" i="72"/>
  <c r="F132" i="78"/>
  <c r="F135" i="78" s="1"/>
  <c r="G113" i="78"/>
  <c r="G126" i="78" s="1"/>
  <c r="D128" i="78"/>
  <c r="E109" i="75"/>
  <c r="E110" i="75" s="1"/>
  <c r="E113" i="75" s="1"/>
  <c r="E126" i="75" s="1"/>
  <c r="H109" i="75"/>
  <c r="H110" i="75" s="1"/>
  <c r="H113" i="75" s="1"/>
  <c r="H126" i="75" s="1"/>
  <c r="H113" i="72"/>
  <c r="H126" i="72" s="1"/>
  <c r="E103" i="47"/>
  <c r="G103" i="47"/>
  <c r="L53" i="72"/>
  <c r="J72" i="72" s="1"/>
  <c r="G132" i="80"/>
  <c r="G135" i="80" s="1"/>
  <c r="F134" i="79"/>
  <c r="L57" i="47"/>
  <c r="F112" i="47"/>
  <c r="F125" i="47" s="1"/>
  <c r="L57" i="74"/>
  <c r="J76" i="73"/>
  <c r="J54" i="76"/>
  <c r="J62" i="80"/>
  <c r="J61" i="74"/>
  <c r="J62" i="73"/>
  <c r="J53" i="72"/>
  <c r="J71" i="72" s="1"/>
  <c r="J76" i="72" s="1"/>
  <c r="L62" i="80"/>
  <c r="H110" i="80"/>
  <c r="H113" i="80" s="1"/>
  <c r="H126" i="80" s="1"/>
  <c r="L64" i="73"/>
  <c r="I109" i="75"/>
  <c r="I110" i="75" s="1"/>
  <c r="I113" i="75" s="1"/>
  <c r="I126" i="75" s="1"/>
  <c r="E109" i="80"/>
  <c r="E110" i="80" s="1"/>
  <c r="E113" i="80" s="1"/>
  <c r="E126" i="80" s="1"/>
  <c r="J76" i="79"/>
  <c r="I103" i="47"/>
  <c r="I94" i="74"/>
  <c r="J64" i="72"/>
  <c r="J63" i="75"/>
  <c r="M60" i="47"/>
  <c r="N60" i="47"/>
  <c r="N64" i="47"/>
  <c r="M64" i="47"/>
  <c r="J62" i="75"/>
  <c r="M63" i="76"/>
  <c r="N63" i="76"/>
  <c r="N64" i="76"/>
  <c r="M64" i="76"/>
  <c r="N62" i="73"/>
  <c r="M62" i="73"/>
  <c r="M63" i="73"/>
  <c r="N63" i="73"/>
  <c r="M66" i="72"/>
  <c r="N66" i="72"/>
  <c r="M67" i="72"/>
  <c r="N67" i="72"/>
  <c r="J60" i="47"/>
  <c r="N54" i="47"/>
  <c r="M54" i="47"/>
  <c r="M57" i="47"/>
  <c r="N57" i="47"/>
  <c r="N56" i="47"/>
  <c r="M56" i="47"/>
  <c r="M58" i="47"/>
  <c r="N58" i="47"/>
  <c r="M66" i="47"/>
  <c r="N66" i="47"/>
  <c r="L53" i="47"/>
  <c r="J53" i="47"/>
  <c r="D129" i="78"/>
  <c r="P64" i="81"/>
  <c r="P66" i="81" s="1"/>
  <c r="D101" i="47"/>
  <c r="D99" i="47"/>
  <c r="E103" i="80"/>
  <c r="H103" i="80"/>
  <c r="D129" i="79"/>
  <c r="D129" i="76"/>
  <c r="I102" i="47"/>
  <c r="I112" i="47" s="1"/>
  <c r="I125" i="47" s="1"/>
  <c r="E70" i="73"/>
  <c r="D108" i="73" s="1"/>
  <c r="J58" i="73"/>
  <c r="J66" i="73"/>
  <c r="L56" i="71"/>
  <c r="I131" i="80"/>
  <c r="I134" i="80" s="1"/>
  <c r="J56" i="71"/>
  <c r="D129" i="47"/>
  <c r="J59" i="80"/>
  <c r="J76" i="75"/>
  <c r="H132" i="79"/>
  <c r="H135" i="79" s="1"/>
  <c r="D128" i="79"/>
  <c r="D128" i="76"/>
  <c r="D128" i="73"/>
  <c r="J63" i="47"/>
  <c r="J59" i="75"/>
  <c r="J67" i="75"/>
  <c r="J61" i="47"/>
  <c r="L63" i="80"/>
  <c r="J53" i="76"/>
  <c r="J71" i="76" s="1"/>
  <c r="J76" i="76" s="1"/>
  <c r="J61" i="80"/>
  <c r="H134" i="78"/>
  <c r="D128" i="74"/>
  <c r="D128" i="75"/>
  <c r="E94" i="78"/>
  <c r="I94" i="78"/>
  <c r="G94" i="78"/>
  <c r="D128" i="47"/>
  <c r="L55" i="47"/>
  <c r="J60" i="73"/>
  <c r="J59" i="47"/>
  <c r="J67" i="47"/>
  <c r="J65" i="74"/>
  <c r="D128" i="71"/>
  <c r="E132" i="79"/>
  <c r="E135" i="79" s="1"/>
  <c r="D129" i="74"/>
  <c r="D129" i="73"/>
  <c r="I99" i="47"/>
  <c r="I111" i="47"/>
  <c r="D129" i="71"/>
  <c r="H102" i="71"/>
  <c r="H112" i="71" s="1"/>
  <c r="H125" i="71" s="1"/>
  <c r="H111" i="71"/>
  <c r="H99" i="71"/>
  <c r="H108" i="71"/>
  <c r="F102" i="71"/>
  <c r="F112" i="71" s="1"/>
  <c r="F125" i="71" s="1"/>
  <c r="F111" i="71"/>
  <c r="F99" i="71"/>
  <c r="F108" i="71"/>
  <c r="E70" i="71"/>
  <c r="E70" i="76"/>
  <c r="J53" i="80"/>
  <c r="J71" i="80" s="1"/>
  <c r="J76" i="80" s="1"/>
  <c r="D128" i="80"/>
  <c r="D129" i="80"/>
  <c r="G102" i="47"/>
  <c r="G112" i="47" s="1"/>
  <c r="G125" i="47" s="1"/>
  <c r="G108" i="47"/>
  <c r="G111" i="47"/>
  <c r="E70" i="75"/>
  <c r="H102" i="47"/>
  <c r="H112" i="47" s="1"/>
  <c r="H125" i="47" s="1"/>
  <c r="H108" i="47"/>
  <c r="H111" i="47"/>
  <c r="H99" i="47"/>
  <c r="D108" i="79"/>
  <c r="D102" i="78"/>
  <c r="J75" i="78"/>
  <c r="D112" i="78" s="1"/>
  <c r="D125" i="78" s="1"/>
  <c r="H132" i="76"/>
  <c r="H135" i="76" s="1"/>
  <c r="F132" i="74"/>
  <c r="F135" i="74" s="1"/>
  <c r="D108" i="80"/>
  <c r="I132" i="74"/>
  <c r="I135" i="74" s="1"/>
  <c r="I134" i="74"/>
  <c r="G132" i="78"/>
  <c r="G135" i="78" s="1"/>
  <c r="D108" i="74"/>
  <c r="E132" i="78"/>
  <c r="E135" i="78" s="1"/>
  <c r="G132" i="73"/>
  <c r="G135" i="73" s="1"/>
  <c r="D100" i="71" l="1"/>
  <c r="E73" i="71"/>
  <c r="J72" i="71"/>
  <c r="J74" i="71" s="1"/>
  <c r="D102" i="71" s="1"/>
  <c r="J71" i="71"/>
  <c r="J76" i="71" s="1"/>
  <c r="I132" i="80"/>
  <c r="I135" i="80" s="1"/>
  <c r="J74" i="73"/>
  <c r="J74" i="75"/>
  <c r="D102" i="75" s="1"/>
  <c r="E74" i="79"/>
  <c r="D104" i="79" s="1"/>
  <c r="E104" i="79" s="1"/>
  <c r="F104" i="79" s="1"/>
  <c r="G104" i="79" s="1"/>
  <c r="H104" i="79" s="1"/>
  <c r="I104" i="79" s="1"/>
  <c r="D106" i="79"/>
  <c r="D130" i="79" s="1"/>
  <c r="D134" i="79" s="1"/>
  <c r="D102" i="73"/>
  <c r="J73" i="80"/>
  <c r="J74" i="72"/>
  <c r="D102" i="72" s="1"/>
  <c r="J74" i="79"/>
  <c r="D102" i="79" s="1"/>
  <c r="E72" i="71"/>
  <c r="D106" i="71" s="1"/>
  <c r="D130" i="71" s="1"/>
  <c r="E73" i="75"/>
  <c r="E76" i="75" s="1"/>
  <c r="D109" i="75" s="1"/>
  <c r="G132" i="79"/>
  <c r="G135" i="79" s="1"/>
  <c r="J75" i="76"/>
  <c r="D112" i="76" s="1"/>
  <c r="D125" i="76" s="1"/>
  <c r="H134" i="80"/>
  <c r="E72" i="78"/>
  <c r="D106" i="78" s="1"/>
  <c r="D130" i="78" s="1"/>
  <c r="D100" i="72"/>
  <c r="D106" i="75"/>
  <c r="D130" i="75" s="1"/>
  <c r="D100" i="79"/>
  <c r="E73" i="78"/>
  <c r="D107" i="78" s="1"/>
  <c r="D131" i="78" s="1"/>
  <c r="E73" i="74"/>
  <c r="D107" i="74" s="1"/>
  <c r="D131" i="74" s="1"/>
  <c r="I134" i="73"/>
  <c r="I132" i="73"/>
  <c r="I135" i="73" s="1"/>
  <c r="E72" i="74"/>
  <c r="E74" i="74" s="1"/>
  <c r="D104" i="74" s="1"/>
  <c r="E104" i="74" s="1"/>
  <c r="F104" i="74" s="1"/>
  <c r="G104" i="74" s="1"/>
  <c r="H104" i="74" s="1"/>
  <c r="I104" i="74" s="1"/>
  <c r="D107" i="71"/>
  <c r="D131" i="71" s="1"/>
  <c r="E75" i="71"/>
  <c r="D105" i="71" s="1"/>
  <c r="E74" i="78"/>
  <c r="D104" i="78" s="1"/>
  <c r="E104" i="78" s="1"/>
  <c r="F104" i="78" s="1"/>
  <c r="G104" i="78" s="1"/>
  <c r="H104" i="78" s="1"/>
  <c r="I104" i="78" s="1"/>
  <c r="E75" i="79"/>
  <c r="D105" i="79" s="1"/>
  <c r="E72" i="47"/>
  <c r="E72" i="80"/>
  <c r="E72" i="72"/>
  <c r="E73" i="73"/>
  <c r="E73" i="76"/>
  <c r="E76" i="71"/>
  <c r="D109" i="71" s="1"/>
  <c r="J75" i="74"/>
  <c r="D112" i="74" s="1"/>
  <c r="D125" i="74" s="1"/>
  <c r="J72" i="47"/>
  <c r="J74" i="47" s="1"/>
  <c r="D102" i="47" s="1"/>
  <c r="E73" i="47"/>
  <c r="E73" i="80"/>
  <c r="E73" i="72"/>
  <c r="E72" i="73"/>
  <c r="E72" i="76"/>
  <c r="E76" i="79"/>
  <c r="J71" i="47"/>
  <c r="J76" i="47" s="1"/>
  <c r="D108" i="71"/>
  <c r="D108" i="76"/>
  <c r="D108" i="75"/>
  <c r="E74" i="75"/>
  <c r="D104" i="75" s="1"/>
  <c r="E104" i="75" s="1"/>
  <c r="F104" i="75" s="1"/>
  <c r="G104" i="75" s="1"/>
  <c r="H104" i="75" s="1"/>
  <c r="I104" i="75" s="1"/>
  <c r="I77" i="71" l="1"/>
  <c r="E74" i="71"/>
  <c r="D104" i="71" s="1"/>
  <c r="E104" i="71" s="1"/>
  <c r="E106" i="71" s="1"/>
  <c r="D132" i="79"/>
  <c r="D135" i="79" s="1"/>
  <c r="E75" i="74"/>
  <c r="D105" i="74" s="1"/>
  <c r="H105" i="74" s="1"/>
  <c r="J75" i="71"/>
  <c r="D112" i="71" s="1"/>
  <c r="D125" i="71" s="1"/>
  <c r="J75" i="72"/>
  <c r="D112" i="72" s="1"/>
  <c r="D125" i="72" s="1"/>
  <c r="J75" i="73"/>
  <c r="D112" i="73" s="1"/>
  <c r="D125" i="73" s="1"/>
  <c r="J75" i="79"/>
  <c r="D112" i="79" s="1"/>
  <c r="D125" i="79" s="1"/>
  <c r="J75" i="75"/>
  <c r="D112" i="75" s="1"/>
  <c r="D125" i="75" s="1"/>
  <c r="D100" i="80"/>
  <c r="J75" i="80"/>
  <c r="D112" i="80" s="1"/>
  <c r="D125" i="80" s="1"/>
  <c r="D134" i="78"/>
  <c r="E77" i="71"/>
  <c r="D107" i="75"/>
  <c r="D131" i="75" s="1"/>
  <c r="E75" i="75"/>
  <c r="D105" i="75" s="1"/>
  <c r="J75" i="47"/>
  <c r="D112" i="47" s="1"/>
  <c r="D125" i="47" s="1"/>
  <c r="D132" i="71"/>
  <c r="D135" i="71" s="1"/>
  <c r="D134" i="71"/>
  <c r="D106" i="74"/>
  <c r="D130" i="74" s="1"/>
  <c r="E76" i="74"/>
  <c r="E76" i="78"/>
  <c r="E77" i="78" s="1"/>
  <c r="E75" i="78"/>
  <c r="D105" i="78" s="1"/>
  <c r="F105" i="78" s="1"/>
  <c r="E77" i="75"/>
  <c r="E79" i="75" s="1"/>
  <c r="E76" i="76"/>
  <c r="D106" i="76"/>
  <c r="D130" i="76" s="1"/>
  <c r="E74" i="76"/>
  <c r="D104" i="76" s="1"/>
  <c r="E104" i="76" s="1"/>
  <c r="F104" i="76" s="1"/>
  <c r="G104" i="76" s="1"/>
  <c r="H104" i="76" s="1"/>
  <c r="I104" i="76" s="1"/>
  <c r="D107" i="80"/>
  <c r="D131" i="80" s="1"/>
  <c r="E75" i="80"/>
  <c r="D105" i="80" s="1"/>
  <c r="D107" i="76"/>
  <c r="D131" i="76" s="1"/>
  <c r="E75" i="76"/>
  <c r="D105" i="76" s="1"/>
  <c r="E76" i="72"/>
  <c r="D106" i="72"/>
  <c r="D130" i="72" s="1"/>
  <c r="E74" i="72"/>
  <c r="D104" i="72" s="1"/>
  <c r="E104" i="72" s="1"/>
  <c r="F104" i="72" s="1"/>
  <c r="G104" i="72" s="1"/>
  <c r="H104" i="72" s="1"/>
  <c r="I104" i="72" s="1"/>
  <c r="E76" i="47"/>
  <c r="D106" i="47"/>
  <c r="D130" i="47" s="1"/>
  <c r="E74" i="47"/>
  <c r="D104" i="47" s="1"/>
  <c r="E104" i="47" s="1"/>
  <c r="D109" i="78"/>
  <c r="E105" i="74"/>
  <c r="I105" i="71"/>
  <c r="I107" i="71" s="1"/>
  <c r="I131" i="71" s="1"/>
  <c r="H105" i="71"/>
  <c r="H107" i="71" s="1"/>
  <c r="H131" i="71" s="1"/>
  <c r="G105" i="71"/>
  <c r="G107" i="71" s="1"/>
  <c r="G131" i="71" s="1"/>
  <c r="F105" i="71"/>
  <c r="F107" i="71" s="1"/>
  <c r="F131" i="71" s="1"/>
  <c r="E105" i="71"/>
  <c r="E107" i="71" s="1"/>
  <c r="E131" i="71" s="1"/>
  <c r="D109" i="79"/>
  <c r="E77" i="79"/>
  <c r="D106" i="73"/>
  <c r="D130" i="73" s="1"/>
  <c r="E76" i="73"/>
  <c r="D107" i="72"/>
  <c r="D131" i="72" s="1"/>
  <c r="E75" i="72"/>
  <c r="D105" i="72" s="1"/>
  <c r="D107" i="47"/>
  <c r="D131" i="47" s="1"/>
  <c r="E75" i="47"/>
  <c r="D105" i="47" s="1"/>
  <c r="D107" i="73"/>
  <c r="D131" i="73" s="1"/>
  <c r="E75" i="73"/>
  <c r="D105" i="73" s="1"/>
  <c r="E76" i="80"/>
  <c r="D106" i="80"/>
  <c r="D130" i="80" s="1"/>
  <c r="E74" i="80"/>
  <c r="D104" i="80" s="1"/>
  <c r="E104" i="80" s="1"/>
  <c r="F104" i="80" s="1"/>
  <c r="G104" i="80" s="1"/>
  <c r="H104" i="80" s="1"/>
  <c r="I104" i="80" s="1"/>
  <c r="H105" i="79"/>
  <c r="F105" i="79"/>
  <c r="I105" i="79"/>
  <c r="E105" i="79"/>
  <c r="G105" i="79"/>
  <c r="E74" i="73"/>
  <c r="D104" i="73" s="1"/>
  <c r="E104" i="73" s="1"/>
  <c r="F104" i="73" s="1"/>
  <c r="G104" i="73" s="1"/>
  <c r="H104" i="73" s="1"/>
  <c r="I104" i="73" s="1"/>
  <c r="D109" i="74"/>
  <c r="E77" i="74"/>
  <c r="D132" i="78"/>
  <c r="D135" i="78" s="1"/>
  <c r="L31" i="33"/>
  <c r="D110" i="71"/>
  <c r="E79" i="71"/>
  <c r="L30" i="33" s="1"/>
  <c r="F104" i="71" l="1"/>
  <c r="G104" i="71" s="1"/>
  <c r="H105" i="78"/>
  <c r="G105" i="74"/>
  <c r="I105" i="74"/>
  <c r="F105" i="74"/>
  <c r="K31" i="33"/>
  <c r="D110" i="75"/>
  <c r="D134" i="75"/>
  <c r="D132" i="75"/>
  <c r="D135" i="75" s="1"/>
  <c r="G105" i="78"/>
  <c r="H105" i="75"/>
  <c r="G105" i="75"/>
  <c r="E105" i="75"/>
  <c r="F105" i="75"/>
  <c r="I105" i="75"/>
  <c r="E105" i="78"/>
  <c r="I105" i="78"/>
  <c r="D132" i="74"/>
  <c r="D135" i="74" s="1"/>
  <c r="D134" i="74"/>
  <c r="I105" i="73"/>
  <c r="F105" i="73"/>
  <c r="E105" i="73"/>
  <c r="H105" i="73"/>
  <c r="G105" i="73"/>
  <c r="G105" i="47"/>
  <c r="G107" i="47" s="1"/>
  <c r="F105" i="47"/>
  <c r="F107" i="47" s="1"/>
  <c r="E105" i="47"/>
  <c r="E107" i="47" s="1"/>
  <c r="H105" i="47"/>
  <c r="H107" i="47" s="1"/>
  <c r="H131" i="47" s="1"/>
  <c r="I105" i="47"/>
  <c r="I107" i="47" s="1"/>
  <c r="I131" i="47" s="1"/>
  <c r="I105" i="72"/>
  <c r="E105" i="72"/>
  <c r="G105" i="72"/>
  <c r="H105" i="72"/>
  <c r="F105" i="72"/>
  <c r="D109" i="73"/>
  <c r="E77" i="73"/>
  <c r="E79" i="79"/>
  <c r="D110" i="79"/>
  <c r="D109" i="72"/>
  <c r="E77" i="72"/>
  <c r="D132" i="76"/>
  <c r="D135" i="76" s="1"/>
  <c r="D134" i="76"/>
  <c r="D132" i="80"/>
  <c r="D135" i="80" s="1"/>
  <c r="D134" i="80"/>
  <c r="E79" i="74"/>
  <c r="D110" i="74"/>
  <c r="D109" i="80"/>
  <c r="E77" i="80"/>
  <c r="D132" i="73"/>
  <c r="D135" i="73" s="1"/>
  <c r="D134" i="73"/>
  <c r="D132" i="47"/>
  <c r="D135" i="47" s="1"/>
  <c r="D134" i="47"/>
  <c r="D134" i="72"/>
  <c r="D132" i="72"/>
  <c r="D135" i="72" s="1"/>
  <c r="D110" i="78"/>
  <c r="E79" i="78"/>
  <c r="F104" i="47"/>
  <c r="E106" i="47"/>
  <c r="E130" i="47" s="1"/>
  <c r="D109" i="47"/>
  <c r="E77" i="47"/>
  <c r="F105" i="76"/>
  <c r="H105" i="76"/>
  <c r="G105" i="76"/>
  <c r="I105" i="76"/>
  <c r="E105" i="76"/>
  <c r="E105" i="80"/>
  <c r="H105" i="80"/>
  <c r="F105" i="80"/>
  <c r="I105" i="80"/>
  <c r="G105" i="80"/>
  <c r="D109" i="76"/>
  <c r="E77" i="76"/>
  <c r="D80" i="71"/>
  <c r="D113" i="71"/>
  <c r="D126" i="71" s="1"/>
  <c r="F106" i="71"/>
  <c r="E130" i="71"/>
  <c r="E109" i="71"/>
  <c r="E110" i="71" s="1"/>
  <c r="E113" i="71" s="1"/>
  <c r="E126" i="71" s="1"/>
  <c r="D113" i="75"/>
  <c r="D126" i="75" s="1"/>
  <c r="D80" i="75"/>
  <c r="G104" i="47" l="1"/>
  <c r="F106" i="47"/>
  <c r="F130" i="47" s="1"/>
  <c r="D80" i="74"/>
  <c r="D113" i="74"/>
  <c r="D126" i="74" s="1"/>
  <c r="D80" i="79"/>
  <c r="D113" i="79"/>
  <c r="D126" i="79" s="1"/>
  <c r="E109" i="47"/>
  <c r="E110" i="47" s="1"/>
  <c r="E113" i="47" s="1"/>
  <c r="E126" i="47" s="1"/>
  <c r="E131" i="47"/>
  <c r="G131" i="47"/>
  <c r="E79" i="76"/>
  <c r="D110" i="76"/>
  <c r="D110" i="47"/>
  <c r="E79" i="47"/>
  <c r="D80" i="78"/>
  <c r="D113" i="78"/>
  <c r="D126" i="78" s="1"/>
  <c r="D110" i="80"/>
  <c r="E79" i="80"/>
  <c r="E79" i="72"/>
  <c r="D110" i="72"/>
  <c r="E79" i="73"/>
  <c r="D110" i="73"/>
  <c r="F131" i="47"/>
  <c r="H104" i="71"/>
  <c r="G106" i="71"/>
  <c r="E132" i="71"/>
  <c r="E135" i="71" s="1"/>
  <c r="E134" i="71"/>
  <c r="F130" i="71"/>
  <c r="F109" i="71"/>
  <c r="F110" i="71" s="1"/>
  <c r="F113" i="71" s="1"/>
  <c r="F126" i="71" s="1"/>
  <c r="F134" i="47" l="1"/>
  <c r="F132" i="47"/>
  <c r="F135" i="47" s="1"/>
  <c r="D113" i="73"/>
  <c r="D126" i="73" s="1"/>
  <c r="D80" i="73"/>
  <c r="D113" i="72"/>
  <c r="D126" i="72" s="1"/>
  <c r="D80" i="72"/>
  <c r="D113" i="76"/>
  <c r="D126" i="76" s="1"/>
  <c r="D80" i="76"/>
  <c r="E134" i="47"/>
  <c r="E132" i="47"/>
  <c r="E135" i="47" s="1"/>
  <c r="F109" i="47"/>
  <c r="F110" i="47" s="1"/>
  <c r="F113" i="47" s="1"/>
  <c r="F126" i="47" s="1"/>
  <c r="D113" i="80"/>
  <c r="D126" i="80" s="1"/>
  <c r="D80" i="80"/>
  <c r="D80" i="47"/>
  <c r="D113" i="47"/>
  <c r="D126" i="47" s="1"/>
  <c r="K30" i="33"/>
  <c r="H104" i="47"/>
  <c r="G106" i="47"/>
  <c r="G130" i="71"/>
  <c r="G109" i="71"/>
  <c r="G110" i="71" s="1"/>
  <c r="G113" i="71" s="1"/>
  <c r="G126" i="71" s="1"/>
  <c r="F134" i="71"/>
  <c r="F132" i="71"/>
  <c r="F135" i="71" s="1"/>
  <c r="I104" i="71"/>
  <c r="I106" i="71" s="1"/>
  <c r="H106" i="71"/>
  <c r="G130" i="47" l="1"/>
  <c r="G109" i="47"/>
  <c r="G110" i="47" s="1"/>
  <c r="G113" i="47" s="1"/>
  <c r="G126" i="47" s="1"/>
  <c r="I104" i="47"/>
  <c r="I106" i="47" s="1"/>
  <c r="H106" i="47"/>
  <c r="H109" i="71"/>
  <c r="H110" i="71" s="1"/>
  <c r="H113" i="71" s="1"/>
  <c r="H126" i="71" s="1"/>
  <c r="H130" i="71"/>
  <c r="I130" i="71"/>
  <c r="I109" i="71"/>
  <c r="I110" i="71" s="1"/>
  <c r="I113" i="71" s="1"/>
  <c r="I126" i="71" s="1"/>
  <c r="G132" i="71"/>
  <c r="G135" i="71" s="1"/>
  <c r="G134" i="71"/>
  <c r="H109" i="47" l="1"/>
  <c r="H110" i="47" s="1"/>
  <c r="H113" i="47" s="1"/>
  <c r="H126" i="47" s="1"/>
  <c r="H130" i="47"/>
  <c r="I130" i="47"/>
  <c r="I109" i="47"/>
  <c r="I110" i="47" s="1"/>
  <c r="I113" i="47" s="1"/>
  <c r="I126" i="47" s="1"/>
  <c r="G134" i="47"/>
  <c r="G132" i="47"/>
  <c r="G135" i="47" s="1"/>
  <c r="H132" i="71"/>
  <c r="H135" i="71" s="1"/>
  <c r="H134" i="71"/>
  <c r="I134" i="71"/>
  <c r="I132" i="71"/>
  <c r="I135" i="71" s="1"/>
  <c r="H132" i="47" l="1"/>
  <c r="H135" i="47" s="1"/>
  <c r="H134" i="47"/>
  <c r="I134" i="47"/>
  <c r="I132" i="47"/>
  <c r="I135"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200-000001000000}">
      <text>
        <r>
          <rPr>
            <b/>
            <sz val="8"/>
            <color indexed="81"/>
            <rFont val="Tahoma"/>
            <family val="2"/>
          </rPr>
          <t>Function of diameter of the inlet pipe and the volume at the beginning of the fill cycle.</t>
        </r>
      </text>
    </comment>
    <comment ref="C76" authorId="0" shapeId="0" xr:uid="{00000000-0006-0000-0200-000002000000}">
      <text>
        <r>
          <rPr>
            <b/>
            <sz val="8"/>
            <color indexed="81"/>
            <rFont val="Tahoma"/>
            <family val="2"/>
          </rPr>
          <t>Average time between the end of last fill cycle and the beginning of the the next fill cycle.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B00-000001000000}">
      <text>
        <r>
          <rPr>
            <b/>
            <sz val="8"/>
            <color indexed="81"/>
            <rFont val="Tahoma"/>
            <family val="2"/>
          </rPr>
          <t>Function of diameter of the inlet pipe and the volume at the beginning of the fill cycle.</t>
        </r>
      </text>
    </comment>
    <comment ref="C76" authorId="0" shapeId="0" xr:uid="{00000000-0006-0000-0B00-000002000000}">
      <text>
        <r>
          <rPr>
            <b/>
            <sz val="8"/>
            <color indexed="81"/>
            <rFont val="Tahoma"/>
            <family val="2"/>
          </rPr>
          <t>Average time between the end of last fill cycle and the beginning of the the next fill cycle.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300-000001000000}">
      <text>
        <r>
          <rPr>
            <b/>
            <sz val="8"/>
            <color indexed="81"/>
            <rFont val="Tahoma"/>
            <family val="2"/>
          </rPr>
          <t>Function of diameter of the inlet pipe and the volume at the beginning of the fill cycle.</t>
        </r>
      </text>
    </comment>
    <comment ref="C76" authorId="0" shapeId="0" xr:uid="{00000000-0006-0000-0300-000002000000}">
      <text>
        <r>
          <rPr>
            <b/>
            <sz val="8"/>
            <color indexed="81"/>
            <rFont val="Tahoma"/>
            <family val="2"/>
          </rPr>
          <t>Average time between the end of last fill cycle and the beginning of the the next fill cycle.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400-000001000000}">
      <text>
        <r>
          <rPr>
            <b/>
            <sz val="8"/>
            <color indexed="81"/>
            <rFont val="Tahoma"/>
            <family val="2"/>
          </rPr>
          <t>Function of diameter of the inlet pipe and the volume at the beginning of the fill cycle.</t>
        </r>
      </text>
    </comment>
    <comment ref="C76" authorId="0" shapeId="0" xr:uid="{00000000-0006-0000-0400-000002000000}">
      <text>
        <r>
          <rPr>
            <b/>
            <sz val="8"/>
            <color indexed="81"/>
            <rFont val="Tahoma"/>
            <family val="2"/>
          </rPr>
          <t>Average time between the end of last fill cycle and the beginning of the the next fill cycle.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500-000001000000}">
      <text>
        <r>
          <rPr>
            <b/>
            <sz val="8"/>
            <color indexed="81"/>
            <rFont val="Tahoma"/>
            <family val="2"/>
          </rPr>
          <t>Function of diameter of the inlet pipe and the volume at the beginning of the fill cycle.</t>
        </r>
      </text>
    </comment>
    <comment ref="C76" authorId="0" shapeId="0" xr:uid="{00000000-0006-0000-0500-000002000000}">
      <text>
        <r>
          <rPr>
            <b/>
            <sz val="8"/>
            <color indexed="81"/>
            <rFont val="Tahoma"/>
            <family val="2"/>
          </rPr>
          <t>Average time between the end of last fill cycle and the beginning of the the next fill cycle.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600-000001000000}">
      <text>
        <r>
          <rPr>
            <b/>
            <sz val="8"/>
            <color indexed="81"/>
            <rFont val="Tahoma"/>
            <family val="2"/>
          </rPr>
          <t>Function of diameter of the inlet pipe and the volume at the beginning of the fill cycle.</t>
        </r>
      </text>
    </comment>
    <comment ref="C76" authorId="0" shapeId="0" xr:uid="{00000000-0006-0000-0600-000002000000}">
      <text>
        <r>
          <rPr>
            <b/>
            <sz val="8"/>
            <color indexed="81"/>
            <rFont val="Tahoma"/>
            <family val="2"/>
          </rPr>
          <t>Average time between the end of last fill cycle and the beginning of the the next fill cycle.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700-000001000000}">
      <text>
        <r>
          <rPr>
            <b/>
            <sz val="8"/>
            <color indexed="81"/>
            <rFont val="Tahoma"/>
            <family val="2"/>
          </rPr>
          <t>Function of diameter of the inlet pipe and the volume at the beginning of the fill cycle.</t>
        </r>
      </text>
    </comment>
    <comment ref="C76" authorId="0" shapeId="0" xr:uid="{00000000-0006-0000-0700-000002000000}">
      <text>
        <r>
          <rPr>
            <b/>
            <sz val="8"/>
            <color indexed="81"/>
            <rFont val="Tahoma"/>
            <family val="2"/>
          </rPr>
          <t>Average time between the end of last fill cycle and the beginning of the the next fill cycle.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800-000001000000}">
      <text>
        <r>
          <rPr>
            <b/>
            <sz val="8"/>
            <color indexed="81"/>
            <rFont val="Tahoma"/>
            <family val="2"/>
          </rPr>
          <t>Function of diameter of the inlet pipe and the volume at the beginning of the fill cycle.</t>
        </r>
      </text>
    </comment>
    <comment ref="C76" authorId="0" shapeId="0" xr:uid="{00000000-0006-0000-0800-000002000000}">
      <text>
        <r>
          <rPr>
            <b/>
            <sz val="8"/>
            <color indexed="81"/>
            <rFont val="Tahoma"/>
            <family val="2"/>
          </rPr>
          <t>Average time between the end of last fill cycle and the beginning of the the next fill cycle.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900-000001000000}">
      <text>
        <r>
          <rPr>
            <b/>
            <sz val="8"/>
            <color indexed="81"/>
            <rFont val="Tahoma"/>
            <family val="2"/>
          </rPr>
          <t>Function of diameter of the inlet pipe and the volume at the beginning of the fill cycle.</t>
        </r>
      </text>
    </comment>
    <comment ref="C76" authorId="0" shapeId="0" xr:uid="{00000000-0006-0000-0900-000002000000}">
      <text>
        <r>
          <rPr>
            <b/>
            <sz val="8"/>
            <color indexed="81"/>
            <rFont val="Tahoma"/>
            <family val="2"/>
          </rPr>
          <t>Average time between the end of last fill cycle and the beginning of the the next fill cycle.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TSC</author>
  </authors>
  <commentList>
    <comment ref="L51" authorId="0" shapeId="0" xr:uid="{00000000-0006-0000-0A00-000001000000}">
      <text>
        <r>
          <rPr>
            <b/>
            <sz val="8"/>
            <color indexed="81"/>
            <rFont val="Tahoma"/>
            <family val="2"/>
          </rPr>
          <t>Function of diameter of the inlet pipe and the volume at the beginning of the fill cycle.</t>
        </r>
      </text>
    </comment>
    <comment ref="C76" authorId="0" shapeId="0" xr:uid="{00000000-0006-0000-0A00-000002000000}">
      <text>
        <r>
          <rPr>
            <b/>
            <sz val="8"/>
            <color indexed="81"/>
            <rFont val="Tahoma"/>
            <family val="2"/>
          </rPr>
          <t>Average time between the end of last fill cycle and the beginning of the the next fill cycle.</t>
        </r>
      </text>
    </comment>
  </commentList>
</comments>
</file>

<file path=xl/sharedStrings.xml><?xml version="1.0" encoding="utf-8"?>
<sst xmlns="http://schemas.openxmlformats.org/spreadsheetml/2006/main" count="1615" uniqueCount="266">
  <si>
    <t>Fill period</t>
  </si>
  <si>
    <t>ft</t>
  </si>
  <si>
    <t>days</t>
  </si>
  <si>
    <t>MGD</t>
  </si>
  <si>
    <t xml:space="preserve">MG </t>
  </si>
  <si>
    <t>MG</t>
  </si>
  <si>
    <t>Ave Tank Vol</t>
  </si>
  <si>
    <t>Ave Flow Rate</t>
  </si>
  <si>
    <t>Tank Name:</t>
  </si>
  <si>
    <t>Turnover Time</t>
  </si>
  <si>
    <t xml:space="preserve">Actual </t>
  </si>
  <si>
    <t>Inlet diameter, d:</t>
  </si>
  <si>
    <t>Mixing calculations</t>
  </si>
  <si>
    <t>Req'd</t>
  </si>
  <si>
    <t>Vol at start</t>
  </si>
  <si>
    <t>of fill cycle</t>
  </si>
  <si>
    <t>during fill cycle</t>
  </si>
  <si>
    <t>Vol added</t>
  </si>
  <si>
    <t>(MG)</t>
  </si>
  <si>
    <t>Mixing Summary</t>
  </si>
  <si>
    <t>Date</t>
  </si>
  <si>
    <t>Time</t>
  </si>
  <si>
    <t>Date + Time</t>
  </si>
  <si>
    <t>Delta Time</t>
  </si>
  <si>
    <t>Days</t>
  </si>
  <si>
    <r>
      <t xml:space="preserve">Instructions:  Enter tank fill data (obtained from plant SCADA) for up to 15 fill periods.  </t>
    </r>
    <r>
      <rPr>
        <b/>
        <sz val="10"/>
        <color indexed="10"/>
        <rFont val="Arial"/>
        <family val="2"/>
      </rPr>
      <t>Data inputted by the user are shown in red.</t>
    </r>
  </si>
  <si>
    <t>Fill Time</t>
  </si>
  <si>
    <t>Draw Time</t>
  </si>
  <si>
    <t>gpm</t>
  </si>
  <si>
    <t>No Changes</t>
  </si>
  <si>
    <t>Avg Fill Rate</t>
  </si>
  <si>
    <t>Avg Draw Rate</t>
  </si>
  <si>
    <t>Draw rate/ consumer demand</t>
  </si>
  <si>
    <t>Fill rate/ Pumping rate</t>
  </si>
  <si>
    <t>Inlet Diameter</t>
  </si>
  <si>
    <t>inches</t>
  </si>
  <si>
    <t>Volume Exchange Fraction (VEF)</t>
  </si>
  <si>
    <t>Name of Tank</t>
  </si>
  <si>
    <t>Volume (MG)</t>
  </si>
  <si>
    <t>Mixing Performance Ratio (Measured/ Desired)</t>
  </si>
  <si>
    <t>Avg Fill Time</t>
  </si>
  <si>
    <t>Avg Draw Time</t>
  </si>
  <si>
    <t>Avg Duration (Fill + Draw Time)</t>
  </si>
  <si>
    <t>Avg Vol Added in One Fill Period</t>
  </si>
  <si>
    <t xml:space="preserve">                                                                        Turnover Summary</t>
  </si>
  <si>
    <t xml:space="preserve">Volume drawn </t>
  </si>
  <si>
    <t>during drain cycle</t>
  </si>
  <si>
    <t>Avg Vol Drawn in One Drain Period</t>
  </si>
  <si>
    <t>Avg Tank Vol</t>
  </si>
  <si>
    <t>Scenario A</t>
  </si>
  <si>
    <t>Scenario B</t>
  </si>
  <si>
    <t>Scenario C</t>
  </si>
  <si>
    <t>Scenario D</t>
  </si>
  <si>
    <t>Scenario E</t>
  </si>
  <si>
    <t>H/D ratio</t>
  </si>
  <si>
    <t>Notes:</t>
  </si>
  <si>
    <t xml:space="preserve">Instructions:  </t>
  </si>
  <si>
    <t>Avg volume added during fill</t>
  </si>
  <si>
    <t>Avg Duration (fill +draw)</t>
  </si>
  <si>
    <t>Avg fill time</t>
  </si>
  <si>
    <t>Avg draw time</t>
  </si>
  <si>
    <t>Avg Flow Rate into tank</t>
  </si>
  <si>
    <t>Inlet Diameter Needed for Good Mixing</t>
  </si>
  <si>
    <t>Avg Actual VEF</t>
  </si>
  <si>
    <t>Avg VEF Needed for Good Mixing</t>
  </si>
  <si>
    <t>Mixing Performance Ratio (Measured/Desired)</t>
  </si>
  <si>
    <t>(days)</t>
  </si>
  <si>
    <t>Tank Summary</t>
  </si>
  <si>
    <t>Tank #2  Worksheet</t>
  </si>
  <si>
    <t>Tank #1  Worksheet</t>
  </si>
  <si>
    <t>Tank #3  Worksheet</t>
  </si>
  <si>
    <t>Tank #4  Worksheet</t>
  </si>
  <si>
    <t>Tank #5  Worksheet</t>
  </si>
  <si>
    <t>Tank Glossary</t>
  </si>
  <si>
    <t>Tank Shape:</t>
  </si>
  <si>
    <t>Tank Dimensions:</t>
  </si>
  <si>
    <t>The remaining data is automatically calculated based on the data entered above:</t>
  </si>
  <si>
    <t>Cylindrical (C), Rectangular (R), Hydropillar (H), or None of these (n)?</t>
  </si>
  <si>
    <t xml:space="preserve">Instructions:  Five scenarios are available for experimenting with changing tank operations to improve turnover time.  Experiment with lowering the both the Max and Min levels, </t>
  </si>
  <si>
    <r>
      <t xml:space="preserve">only the Min level, and only the Max level.  </t>
    </r>
    <r>
      <rPr>
        <b/>
        <sz val="10"/>
        <color indexed="10"/>
        <rFont val="Arial"/>
        <family val="2"/>
      </rPr>
      <t xml:space="preserve">Modify data shown in red.  </t>
    </r>
    <r>
      <rPr>
        <b/>
        <sz val="10"/>
        <color indexed="48"/>
        <rFont val="Arial"/>
        <family val="2"/>
      </rPr>
      <t>Do not use this analysis if the turnover time equations are not applicable!</t>
    </r>
  </si>
  <si>
    <r>
      <t xml:space="preserve">If </t>
    </r>
    <r>
      <rPr>
        <b/>
        <sz val="10"/>
        <rFont val="Arial"/>
        <family val="2"/>
      </rPr>
      <t>none</t>
    </r>
    <r>
      <rPr>
        <sz val="10"/>
        <rFont val="Arial"/>
        <family val="2"/>
      </rPr>
      <t>, does SCADA report volume (or % full) rather than level?</t>
    </r>
  </si>
  <si>
    <t>Min Volume (gal)</t>
  </si>
  <si>
    <t>Max Volume (gal)</t>
  </si>
  <si>
    <t>Min Water Level (ft)</t>
  </si>
  <si>
    <t>Max Water Level (ft)</t>
  </si>
  <si>
    <t>Min Percent Full</t>
  </si>
  <si>
    <t>Max Percent Full</t>
  </si>
  <si>
    <t>Pressure (psi)</t>
  </si>
  <si>
    <t>Minimum</t>
  </si>
  <si>
    <t>Maximum</t>
  </si>
  <si>
    <r>
      <t>day</t>
    </r>
    <r>
      <rPr>
        <b/>
        <vertAlign val="superscript"/>
        <sz val="10"/>
        <rFont val="Arial"/>
        <family val="2"/>
      </rPr>
      <t>-1</t>
    </r>
  </si>
  <si>
    <t xml:space="preserve">These five scenarios are also available for experimenting with reducing inlet diameter to improve mixing.  Note that improving the level change will also improve mixing.  </t>
  </si>
  <si>
    <t>mg/L</t>
  </si>
  <si>
    <r>
      <t xml:space="preserve">Modify data shown in red. </t>
    </r>
    <r>
      <rPr>
        <b/>
        <sz val="10"/>
        <rFont val="Arial"/>
        <family val="2"/>
      </rPr>
      <t xml:space="preserve"> </t>
    </r>
    <r>
      <rPr>
        <b/>
        <sz val="10"/>
        <color indexed="48"/>
        <rFont val="Arial"/>
        <family val="2"/>
      </rPr>
      <t>Do not use this analysis if the mixing equations are not applicable (H/D&gt;1)!</t>
    </r>
  </si>
  <si>
    <t>No Changes - Estimated Current Conditions</t>
  </si>
  <si>
    <t>Volume at Start of Fill Cycle (Ve)</t>
  </si>
  <si>
    <t>Volume at end of fill period (or at the start of the draw period) (Vf)</t>
  </si>
  <si>
    <t>Avg draw time (Te)</t>
  </si>
  <si>
    <t>Avg fill time (Tf)</t>
  </si>
  <si>
    <t>Chlorine Decay Rate Constant (determined from bottle test) (k)</t>
  </si>
  <si>
    <t>Concentration entering the tank (from field data) (Ce)</t>
  </si>
  <si>
    <t xml:space="preserve">Instructions:  Five scenarios are available for estimating the minimum chlorine concentration exiting a completely mixed or plug flow tank during a </t>
  </si>
  <si>
    <t>Mixing Performance Ratio</t>
  </si>
  <si>
    <t>drain cycle.  This analysis may be able to 1) identify if the performance problem at the tank is due to incomplete mixing, 2) determine the chlorine concentration</t>
  </si>
  <si>
    <t>needed to enter the tank in order to achieve target chlorine residuals leaving the tank, or 3) determine the chlorine decay rate needed at the tank in order to</t>
  </si>
  <si>
    <r>
      <t xml:space="preserve">achieve target chlorine residuals leaving the tank. </t>
    </r>
    <r>
      <rPr>
        <b/>
        <sz val="10"/>
        <color indexed="48"/>
        <rFont val="Arial"/>
        <family val="2"/>
      </rPr>
      <t xml:space="preserve"> Remember - ideal tank performance is complete mixing! </t>
    </r>
    <r>
      <rPr>
        <b/>
        <sz val="10"/>
        <rFont val="Arial"/>
        <family val="2"/>
      </rPr>
      <t xml:space="preserve"> </t>
    </r>
    <r>
      <rPr>
        <b/>
        <sz val="10"/>
        <color indexed="10"/>
        <rFont val="Arial"/>
        <family val="2"/>
      </rPr>
      <t xml:space="preserve">Modify data shown in red. </t>
    </r>
    <r>
      <rPr>
        <b/>
        <sz val="10"/>
        <rFont val="Arial"/>
        <family val="2"/>
      </rPr>
      <t xml:space="preserve"> </t>
    </r>
  </si>
  <si>
    <t>Maximum time that a water parcel stays in a plug flow tank (Tmax)</t>
  </si>
  <si>
    <t>References</t>
  </si>
  <si>
    <r>
      <t xml:space="preserve">Grayman, W.M., Rossman, L.A., Deininger, R.A., Smith, C.A., Arnold, C.N., and Smith, J.F. (September 2004).  Mixing and Aging of Water in Distribution System Storage Facilities, </t>
    </r>
    <r>
      <rPr>
        <i/>
        <sz val="10"/>
        <rFont val="Arial"/>
        <family val="2"/>
      </rPr>
      <t>Journal AWWA</t>
    </r>
    <r>
      <rPr>
        <sz val="10"/>
        <rFont val="Arial"/>
        <family val="2"/>
      </rPr>
      <t>.</t>
    </r>
  </si>
  <si>
    <r>
      <t xml:space="preserve">Grayman, W.M., Rossman, L.A., Deininger, R.A., Smith, C.A., Arnold, C.N., Smith, J.F., and Schnipke, R. (2000). </t>
    </r>
    <r>
      <rPr>
        <i/>
        <sz val="10"/>
        <rFont val="Arial"/>
        <family val="2"/>
      </rPr>
      <t>Water Quality Modeling of Distribution System Storage Facilities</t>
    </r>
    <r>
      <rPr>
        <sz val="10"/>
        <rFont val="Arial"/>
        <family val="2"/>
      </rPr>
      <t>, Denver, CO: American Water Works Research Foundation.</t>
    </r>
  </si>
  <si>
    <r>
      <t xml:space="preserve">Roberts, P.J.W., Tian, X., Lee, S., Sotiropoulos, F., and Duer, M. (2005).  </t>
    </r>
    <r>
      <rPr>
        <i/>
        <sz val="10"/>
        <rFont val="Arial"/>
        <family val="2"/>
      </rPr>
      <t>Physical Model of Mixing in Water Storage Tanks</t>
    </r>
    <r>
      <rPr>
        <sz val="10"/>
        <rFont val="Arial"/>
        <family val="2"/>
      </rPr>
      <t>, Denver, CO:  American Water Works Research Foundation.</t>
    </r>
  </si>
  <si>
    <t>Dimension-less Mixing Time</t>
  </si>
  <si>
    <t>Dimensionless Mixing Time</t>
  </si>
  <si>
    <r>
      <t xml:space="preserve">Rossman, L.A. and Grayman, W.M. (August 1999) Scale-Model Studies of Mixing in Drinking Water Storage Tanks, </t>
    </r>
    <r>
      <rPr>
        <i/>
        <sz val="10"/>
        <rFont val="Arial"/>
        <family val="2"/>
      </rPr>
      <t>Journal of Environmental Engineering</t>
    </r>
    <r>
      <rPr>
        <sz val="10"/>
        <rFont val="Arial"/>
        <family val="2"/>
      </rPr>
      <t>.</t>
    </r>
  </si>
  <si>
    <t>Volume, MG:</t>
  </si>
  <si>
    <t>Tank #7 Worksheet</t>
  </si>
  <si>
    <t>Tank #8 Worksheet</t>
  </si>
  <si>
    <t>Tank #9 Worksheet</t>
  </si>
  <si>
    <t>Tank #1</t>
  </si>
  <si>
    <t>Tank #2</t>
  </si>
  <si>
    <t>Tank #3</t>
  </si>
  <si>
    <t>Tank #4</t>
  </si>
  <si>
    <t>Tank #5</t>
  </si>
  <si>
    <t>Tank #6</t>
  </si>
  <si>
    <t>Tank #7</t>
  </si>
  <si>
    <t>Tank #8</t>
  </si>
  <si>
    <t>Tank #9</t>
  </si>
  <si>
    <r>
      <t>Plug Flow:</t>
    </r>
    <r>
      <rPr>
        <b/>
        <sz val="10"/>
        <rFont val="Arial"/>
        <family val="2"/>
      </rPr>
      <t xml:space="preserve">  Minimum concentration leaving the tank</t>
    </r>
    <r>
      <rPr>
        <b/>
        <vertAlign val="superscript"/>
        <sz val="10"/>
        <rFont val="Arial"/>
        <family val="2"/>
      </rPr>
      <t>1, 2</t>
    </r>
  </si>
  <si>
    <r>
      <t>Complete Mixing:</t>
    </r>
    <r>
      <rPr>
        <b/>
        <sz val="10"/>
        <rFont val="Arial"/>
        <family val="2"/>
      </rPr>
      <t xml:space="preserve"> Minimum concentration leaving the tank</t>
    </r>
    <r>
      <rPr>
        <b/>
        <vertAlign val="superscript"/>
        <sz val="10"/>
        <rFont val="Arial"/>
        <family val="2"/>
      </rPr>
      <t>1, 2</t>
    </r>
  </si>
  <si>
    <t>1. Equation from p. 211 - Water Quality Modeling in DS Storage Tanks" AWWARF study</t>
  </si>
  <si>
    <t>2. The user should assume that when the tank is well mixed (mixing PR &gt;= 1) the minimum concentration leaving the tank is close to the completely mixed result.  If the tank is poorly mixed (mixing PR &lt; 1) the user should be cautious about using the plug flow result to determine the minimum concentration leaving the tank.  Tanks can operate in many different and unpredictable ways.  If the tank is not baffled (like a clearwell) or specifically designed to be plug flow, then the tank operation is probably not plug flow.  In most cases, if the tank is not well mixed (mixing PR &lt; 1) there may be some areas of the tank volume that are mixed (e.g., close to the inlet zone) and other areas (i.e., dead-zones) that are unmixed and probably have an undetectable chlorine residual.  If this is the case, neither the plug flow nor completely mixed result for minimum concentration leaving the tank is applicable.</t>
  </si>
  <si>
    <t>fd</t>
  </si>
  <si>
    <t>Example</t>
  </si>
  <si>
    <t>Tank #6 Worksheet</t>
  </si>
  <si>
    <t>Overview</t>
  </si>
  <si>
    <t xml:space="preserve">•  The purpose of this spreadsheet is to summarize storage tank characteristics, estimate average tank turnover time and mixing, and evaluate potential operational strategies that may improve turnover time and mixing.  </t>
  </si>
  <si>
    <t>•  If operational changes are pursued, they should be made incrementally and supported with water quality data to ensure that any adverse effects to hydraulics and water quality are minimized.</t>
  </si>
  <si>
    <t xml:space="preserve">1.  Gather necessary input data:  </t>
  </si>
  <si>
    <r>
      <t xml:space="preserve">3.  Complete </t>
    </r>
    <r>
      <rPr>
        <i/>
        <sz val="10"/>
        <rFont val="Arial"/>
        <family val="2"/>
      </rPr>
      <t xml:space="preserve">Tank </t>
    </r>
    <r>
      <rPr>
        <sz val="10"/>
        <rFont val="Arial"/>
        <family val="2"/>
      </rPr>
      <t>worksheet(s).</t>
    </r>
  </si>
  <si>
    <r>
      <t xml:space="preserve">     b.  Enter tank level (depth or percent full) with corresponding time and date into the </t>
    </r>
    <r>
      <rPr>
        <i/>
        <sz val="10"/>
        <rFont val="Arial"/>
        <family val="2"/>
      </rPr>
      <t>Tank</t>
    </r>
    <r>
      <rPr>
        <sz val="10"/>
        <rFont val="Arial"/>
        <family val="2"/>
      </rPr>
      <t xml:space="preserve"> worksheet. </t>
    </r>
  </si>
  <si>
    <r>
      <t xml:space="preserve">4.  Review assessment summary on the </t>
    </r>
    <r>
      <rPr>
        <i/>
        <sz val="10"/>
        <rFont val="Arial"/>
        <family val="2"/>
      </rPr>
      <t xml:space="preserve">Tank </t>
    </r>
    <r>
      <rPr>
        <sz val="10"/>
        <rFont val="Arial"/>
        <family val="2"/>
      </rPr>
      <t>worksheet to determine the estimated average tank turnover and mixing estimations.</t>
    </r>
  </si>
  <si>
    <t>Applications and Limitations</t>
  </si>
  <si>
    <t>•  The tank turnover and mixing estimations are not applicable for every tank.  The spreadsheet has several limitations that should be considered before it is used to estimate performance.</t>
  </si>
  <si>
    <t>•  Tank turnover estimations do not apply to the following:</t>
  </si>
  <si>
    <t xml:space="preserve">     •  Tanks that operate with simultaneous inflow and outflow (i.e., "flow-through" tanks).</t>
  </si>
  <si>
    <t xml:space="preserve">     •  Tanks where volume does not change uniformly with respect to depth (e.g., elliptical, spherical) and do not have a known volume change to depth relationship.</t>
  </si>
  <si>
    <t>•  Mixing estimations do not apply to the following:</t>
  </si>
  <si>
    <t xml:space="preserve">     •  Tanks that contain baffling, pillars, static or mechanical mixers.</t>
  </si>
  <si>
    <t xml:space="preserve">     •  Tanks that are thermally stratified.</t>
  </si>
  <si>
    <t xml:space="preserve">     •  Tanks where inlet is not centrally located (e.g., near the tank wall).</t>
  </si>
  <si>
    <r>
      <t>Is the tank Cylindrical (C), Rectangular (R), Hydropillar</t>
    </r>
    <r>
      <rPr>
        <sz val="10"/>
        <rFont val="Arial"/>
        <family val="2"/>
      </rPr>
      <t xml:space="preserve"> (H), or None of these (n)?</t>
    </r>
  </si>
  <si>
    <r>
      <t xml:space="preserve">Section II.  Tank Calculations (from </t>
    </r>
    <r>
      <rPr>
        <b/>
        <i/>
        <sz val="10"/>
        <rFont val="Arial"/>
        <family val="2"/>
      </rPr>
      <t>Tank</t>
    </r>
    <r>
      <rPr>
        <b/>
        <sz val="10"/>
        <rFont val="Arial"/>
        <family val="2"/>
      </rPr>
      <t xml:space="preserve"> worksheets)</t>
    </r>
  </si>
  <si>
    <t xml:space="preserve">2.  In flow-through operation water is simultaneously coming into the tank and leaving the tank.  In fill-draw operation water can either be filling the tank or drawing from the tank at anytime (this is most common). </t>
  </si>
  <si>
    <t>Average Turnover Time (days)</t>
  </si>
  <si>
    <t xml:space="preserve">**If turnover time and/or mixing estimations do not apply this section may be blank. </t>
  </si>
  <si>
    <t xml:space="preserve">     a.  Tank Design Data -  physical characteristics (e.g., volume, shape) that can be found using tank drawings. </t>
  </si>
  <si>
    <t xml:space="preserve">     b.  Tank Level Data - water level changes over a period of time (1-2 week period) that can be obtained from SCADA, data loggers, or other recording devices.</t>
  </si>
  <si>
    <t>Instructions to Users</t>
  </si>
  <si>
    <t>Example Worksheet</t>
  </si>
  <si>
    <r>
      <t xml:space="preserve">2.  Enter tank design data into </t>
    </r>
    <r>
      <rPr>
        <i/>
        <sz val="10"/>
        <rFont val="Arial"/>
        <family val="2"/>
      </rPr>
      <t xml:space="preserve">Tank Summary </t>
    </r>
    <r>
      <rPr>
        <sz val="10"/>
        <rFont val="Arial"/>
        <family val="2"/>
      </rPr>
      <t>worksheet (up to nine tanks).</t>
    </r>
  </si>
  <si>
    <t>Data Collection Considerations</t>
  </si>
  <si>
    <t xml:space="preserve">     a.  Tank Volume (MG)</t>
  </si>
  <si>
    <t xml:space="preserve">     b.  Tank Shape (cylindrical, rectangular, hydropillar, or other)</t>
  </si>
  <si>
    <t xml:space="preserve">     c.  Tank Diameter (ft) or Sidewall Lengths (ft)</t>
  </si>
  <si>
    <t xml:space="preserve">     d.  Inlet/Outlet Diameter (ft)</t>
  </si>
  <si>
    <t>•  Tank turnover and mixing estimations are based on physical characteristics about each tank, which include:</t>
  </si>
  <si>
    <t>•  Tank level data should span approximately two weeks (or fifteen fill-and-draw cycles) and should be representative of typical distribution system operations (i.e., without line breaks or fires).</t>
  </si>
  <si>
    <t xml:space="preserve">     e.  Maximum Operating Depth (ft)</t>
  </si>
  <si>
    <t>-</t>
  </si>
  <si>
    <t xml:space="preserve">     f.   Inlet/Outlet Configuration (fill-and-draw or flow-through)</t>
  </si>
  <si>
    <t>•  Tank operations may vary based on seasonal changes in water demands or temperatures.  It is recommended to estimate turnover time and mixing performance in both periods of high and low, as well as high and low water temperatures.</t>
  </si>
  <si>
    <t>•  Tank turnover and mixing estimations are based on tank level data over a period of time (e.g., 5 days, 2 weeks).  As a result, the water system must have records (e.g., SCADA, telemetry) that captures tank level (depth or volume), time, and date to estimate average tank turnover.</t>
  </si>
  <si>
    <t>Data Interpretations Considerations</t>
  </si>
  <si>
    <r>
      <t>•  Tank turnover estimations may be performed on irregular shaped tanks (e.g., elliptical, spherical) if tank level data is in terms of volume (or percent full), but mixing performance estimations do not apply (</t>
    </r>
    <r>
      <rPr>
        <i/>
        <sz val="10"/>
        <rFont val="Arial"/>
        <family val="2"/>
      </rPr>
      <t>see example below</t>
    </r>
    <r>
      <rPr>
        <sz val="10"/>
        <rFont val="Arial"/>
        <family val="2"/>
      </rPr>
      <t>).</t>
    </r>
  </si>
  <si>
    <t>Min. Tank Level (ft)</t>
  </si>
  <si>
    <t>Min. Volume (gal)</t>
  </si>
  <si>
    <t>Max. Water Level
(ft)</t>
  </si>
  <si>
    <t>Min. Tank Level 
(ft)</t>
  </si>
  <si>
    <t>Max. Volume (gal)</t>
  </si>
  <si>
    <t>Tank Level
(ft)</t>
  </si>
  <si>
    <t>Volume
(gal)</t>
  </si>
  <si>
    <t>2.  Convert Tank Level to Volume Using the Relationship</t>
  </si>
  <si>
    <t>1.  Determine Tank Level vs. Volume Relationship*</t>
  </si>
  <si>
    <t>•  Tank level data is often reported as an elevation or water depth within the tank.  Tank turnover and mixing performance estimations require tank level data (volume or depth) relative to the bottom of the tank (i.e., minimum operating depth).</t>
  </si>
  <si>
    <t>Tank Volume (100% Full) =</t>
  </si>
  <si>
    <t>Cylindrical Tank Example</t>
  </si>
  <si>
    <t>Tank Diameter =</t>
  </si>
  <si>
    <t xml:space="preserve">Maximum Tank Level = </t>
  </si>
  <si>
    <t>gal</t>
  </si>
  <si>
    <t>Tank diameter (D) =</t>
  </si>
  <si>
    <t>Maximum Water Level (H) =</t>
  </si>
  <si>
    <t>H/D (Maximum Water Level/Tank Diameter) =</t>
  </si>
  <si>
    <t>1.  Determine the Maximum Volume (100% Full) and Tank Level</t>
  </si>
  <si>
    <t>2.  Convert Percent Full to Tank level (ft) and Volume (gal)</t>
  </si>
  <si>
    <t>•  Data collection time can vary significantly from system to system, depending on the number of tanks in the system, the accessiblity of physical characteristics of each tank (e.g., tank drawings), and the ease of aquiring tank level data (e.g., SCADA, pressure recorders).</t>
  </si>
  <si>
    <r>
      <t>•  Tank levels reported in percent full may be converted to volume or depth so that tank turnover can be estimated (</t>
    </r>
    <r>
      <rPr>
        <i/>
        <sz val="10"/>
        <rFont val="Arial"/>
        <family val="2"/>
      </rPr>
      <t>see example below)</t>
    </r>
    <r>
      <rPr>
        <sz val="10"/>
        <rFont val="Arial"/>
        <family val="2"/>
      </rPr>
      <t>.  If the tank is rectangular or cylindrical shaped the volume to depth relationship is linear and the percent full values can be easily converted to tank level or volume.  If the tank is irregular shaped the volume to depth relationship is not linear and the percent full values must be determined (</t>
    </r>
    <r>
      <rPr>
        <i/>
        <sz val="10"/>
        <rFont val="Arial"/>
        <family val="2"/>
      </rPr>
      <t>as described above</t>
    </r>
    <r>
      <rPr>
        <sz val="10"/>
        <rFont val="Arial"/>
        <family val="2"/>
      </rPr>
      <t>), then converted to tank level or volume (</t>
    </r>
    <r>
      <rPr>
        <i/>
        <sz val="10"/>
        <rFont val="Arial"/>
        <family val="2"/>
      </rPr>
      <t>as shown below</t>
    </r>
    <r>
      <rPr>
        <sz val="10"/>
        <rFont val="Arial"/>
        <family val="2"/>
      </rPr>
      <t>).</t>
    </r>
  </si>
  <si>
    <t>If…</t>
  </si>
  <si>
    <t>Then…</t>
  </si>
  <si>
    <t>3.  Verify H/D Ratio &lt; 1.0 (i.e., Is mixing equation is applicable?)</t>
  </si>
  <si>
    <t>*This relationship may not always be linear.  Must "best fit" trendline to data.</t>
  </si>
  <si>
    <r>
      <t>•  Pressure recorder data must be converted from pressure to depth before it can be entered into the spreadsheet (</t>
    </r>
    <r>
      <rPr>
        <i/>
        <sz val="10"/>
        <rFont val="Arial"/>
        <family val="2"/>
      </rPr>
      <t>see example below</t>
    </r>
    <r>
      <rPr>
        <sz val="10"/>
        <rFont val="Arial"/>
        <family val="2"/>
      </rPr>
      <t>).</t>
    </r>
  </si>
  <si>
    <t>1.  Determine the Approximate Pressure to Tank Level Relationship*</t>
  </si>
  <si>
    <t>*Pressure recorder elevation is unknown.</t>
  </si>
  <si>
    <t>2.  Convert Pressure to Tank Level Using the Relationship</t>
  </si>
  <si>
    <t>Min. Pressure (psi)</t>
  </si>
  <si>
    <t>Max. Pressure (psi)</t>
  </si>
  <si>
    <t>Max. Tank Level (ft)</t>
  </si>
  <si>
    <r>
      <t xml:space="preserve">1.  Hydropillar tanks can be approximated as cylindrical tanks depending on their operating range.  See </t>
    </r>
    <r>
      <rPr>
        <i/>
        <sz val="10"/>
        <rFont val="Arial"/>
        <family val="2"/>
      </rPr>
      <t>Glossary</t>
    </r>
    <r>
      <rPr>
        <sz val="10"/>
        <rFont val="Arial"/>
        <family val="2"/>
      </rPr>
      <t xml:space="preserve"> worksheet for illustration.</t>
    </r>
  </si>
  <si>
    <t xml:space="preserve">•  Interpretation of minimum and maximum tank levels with corresponding date and time from operational data can be challenging.  Individual's interpretation of tank level may vary, which can result in a wide range of results.  As a result, it is critical to accurately and consistently interpret tank level data for use in the tank spreadsheet.  The following examples are provided to assisst with tank level data interpretation:     </t>
  </si>
  <si>
    <r>
      <t xml:space="preserve">Example A </t>
    </r>
    <r>
      <rPr>
        <sz val="10"/>
        <rFont val="Arial"/>
        <family val="2"/>
      </rPr>
      <t xml:space="preserve">- Minimum and maximum operational setpoints are consistent and clearly defined.  Minor variations in tank level data are typical.  In general, these variations (&lt; 1-1.5 ft) can be ignored, but consistent approach of interpreting this data is critical.  </t>
    </r>
  </si>
  <si>
    <r>
      <rPr>
        <b/>
        <sz val="10"/>
        <rFont val="Arial"/>
        <family val="2"/>
      </rPr>
      <t>Example B</t>
    </r>
    <r>
      <rPr>
        <sz val="10"/>
        <rFont val="Arial"/>
        <family val="2"/>
      </rPr>
      <t xml:space="preserve"> - Minimum and maximum operational setpoints are inconsistent and not as clearly defined.  Tank level changes greater than one foot were identified. </t>
    </r>
  </si>
  <si>
    <r>
      <rPr>
        <b/>
        <sz val="10"/>
        <rFont val="Arial"/>
        <family val="2"/>
      </rPr>
      <t xml:space="preserve">Example C </t>
    </r>
    <r>
      <rPr>
        <sz val="10"/>
        <rFont val="Arial"/>
        <family val="2"/>
      </rPr>
      <t>- Minimum and maximum operational setpoints are erratic and not clearly defined.  Tank level changes greater than one and a half feet were identified.   Generalizations were made in cases where tank level data was highly erratic, yet a consistent approach to data interpretation was taken.</t>
    </r>
  </si>
  <si>
    <t>Cylindrical:</t>
  </si>
  <si>
    <t>Hydropillar:</t>
  </si>
  <si>
    <t xml:space="preserve">Rectangular: </t>
  </si>
  <si>
    <r>
      <t>Physical Characteristics:</t>
    </r>
    <r>
      <rPr>
        <sz val="10"/>
        <rFont val="Arial"/>
        <family val="2"/>
      </rPr>
      <t xml:space="preserve">  physical parameters used to describe storage tanks, which include size (e.g., diameter, height, volume), shape (e.g., cylindrical, rectangular, etc.), elevation (e.g., underground, ground, elevated), inlet/outlet description (e.g., configuration (common or "flow-through"), diameter, location), and other (e.g., baffling, pillars, static/dynamic mixers).  </t>
    </r>
  </si>
  <si>
    <r>
      <t xml:space="preserve">Operational Data (or Tank Level Data):  </t>
    </r>
    <r>
      <rPr>
        <sz val="10"/>
        <rFont val="Arial"/>
        <family val="2"/>
      </rPr>
      <t>Minimum and maximum tank cycle levels with corresponding date and time (e.g., SCADA, data logger).</t>
    </r>
  </si>
  <si>
    <r>
      <rPr>
        <b/>
        <sz val="10"/>
        <rFont val="Arial"/>
        <family val="2"/>
      </rPr>
      <t>Tank Mixing:</t>
    </r>
    <r>
      <rPr>
        <sz val="10"/>
        <rFont val="Arial"/>
        <family val="2"/>
      </rPr>
      <t xml:space="preserve">  A function of the momentum of the inlet flow during a fill cycle.</t>
    </r>
  </si>
  <si>
    <r>
      <rPr>
        <b/>
        <sz val="10"/>
        <rFont val="Arial"/>
        <family val="2"/>
      </rPr>
      <t>Tank Turnover Time (or Water Age):</t>
    </r>
    <r>
      <rPr>
        <sz val="10"/>
        <rFont val="Arial"/>
        <family val="2"/>
      </rPr>
      <t xml:space="preserve">  Average length of time that water resides in a storage tank.  The operational guideline for storage tank operation suggests that tank turnover time is less than 3-5 days at all storage tanks, but tanks should be evaluated individually and given their own goal.  </t>
    </r>
  </si>
  <si>
    <r>
      <t xml:space="preserve">     a.  Interpret minimum and maximum tank levels with corresponding time and date from operational data (see </t>
    </r>
    <r>
      <rPr>
        <i/>
        <sz val="10"/>
        <rFont val="Arial"/>
        <family val="2"/>
      </rPr>
      <t xml:space="preserve">Data Considerations </t>
    </r>
    <r>
      <rPr>
        <sz val="10"/>
        <rFont val="Arial"/>
        <family val="2"/>
      </rPr>
      <t>Worksheet).</t>
    </r>
  </si>
  <si>
    <t>5.  Assess the impact of making operational strategies and/or design changes on the estimated average tank turnover and mixing estimations.</t>
  </si>
  <si>
    <r>
      <t xml:space="preserve">Operational Strategies:  </t>
    </r>
    <r>
      <rPr>
        <sz val="10"/>
        <rFont val="Arial"/>
        <family val="2"/>
      </rPr>
      <t>Adjusting minimum and/or maximum tank cycle levels or frequency to impact tank turnover time and/or mixing.</t>
    </r>
  </si>
  <si>
    <r>
      <t xml:space="preserve">Design Changes:  </t>
    </r>
    <r>
      <rPr>
        <sz val="10"/>
        <rFont val="Arial"/>
        <family val="2"/>
      </rPr>
      <t>Installation of engineered mixing systems or modifying inlet/outlet diameter to impact mixing performance or reducing distribution system volume (e.g., reduce line size or remove tanks from service) to impact tank turnover time.</t>
    </r>
  </si>
  <si>
    <r>
      <t xml:space="preserve">Section I.  Physical Characteristics (See </t>
    </r>
    <r>
      <rPr>
        <b/>
        <i/>
        <sz val="10"/>
        <rFont val="Arial"/>
        <family val="2"/>
      </rPr>
      <t>Glossary</t>
    </r>
    <r>
      <rPr>
        <b/>
        <sz val="10"/>
        <rFont val="Arial"/>
        <family val="2"/>
      </rPr>
      <t xml:space="preserve"> worksheet for details)</t>
    </r>
  </si>
  <si>
    <r>
      <t xml:space="preserve">Water Quality Data:  </t>
    </r>
    <r>
      <rPr>
        <sz val="10"/>
        <rFont val="Arial"/>
        <family val="2"/>
      </rPr>
      <t>Continuous or grab sample data that is collected to assess storage tank performance.  Common parameters used to assess storage tank performance are free chlorine, temperature, pH, and disinfection by-products.  Grab samples may be collected from in the tank, from the inlet/outlet, or in the distribution system.  Water quality data is considered to be the best indicator of storage tank performance.</t>
    </r>
  </si>
  <si>
    <t>Modifications</t>
  </si>
  <si>
    <t>LDD modified tank worksheets to simplify data entry requirements.  Provided space for up to 15 tank fill periods.</t>
  </si>
  <si>
    <t>MWS added guidelines</t>
  </si>
  <si>
    <t>MWS added Data Summary worksheet</t>
  </si>
  <si>
    <t>MWS added Summary, Prioritization, and Analysis worksheets.  Also revised Data Input worksheet's error in turnover time calculations.</t>
  </si>
  <si>
    <t>MWS added calculations for rectangular tanks. Made minor modifications to all sheets for increased functionality.</t>
  </si>
  <si>
    <t>MWS added tanks #2-#8.  Made minor modifications to other sheets.</t>
  </si>
  <si>
    <t>MWS changed H/D ratio to H/D&gt;1, not H/D&gt;=1.</t>
  </si>
  <si>
    <t>MWS added calculations for spheriod and hydropillar tanks.  Deleted Prioritization Analysis.  Added glossary.</t>
  </si>
  <si>
    <t>MWS fixed logic on applicability of turnover time and mixing equations of tank spreadsheet.</t>
  </si>
  <si>
    <t>MWS fixed calculations for fill and draw time.  Added "Helpful Hints" and "Glossary" worksheet.</t>
  </si>
  <si>
    <t>MWS modified the Step 2: turnover time and mixing analysis.  Added Step 3: Chlorine Residual Analysis and made modifications to mixing calcs to include standpipes (H/D ratios greater than 1).</t>
  </si>
  <si>
    <t xml:space="preserve">MWS modified the Step 2 analysis so that the fill rate could be modified by the user. </t>
  </si>
  <si>
    <t>MWS modified the Tank Summary to alert users to turnover times over 5 days (versus 4 days, previously).  This is more in line with the operations goal of turnover time being less than 3-5 days.</t>
  </si>
  <si>
    <r>
      <t xml:space="preserve">MTA modified </t>
    </r>
    <r>
      <rPr>
        <i/>
        <sz val="10"/>
        <rFont val="Arial"/>
        <family val="2"/>
      </rPr>
      <t>Introduction</t>
    </r>
    <r>
      <rPr>
        <sz val="10"/>
        <rFont val="Arial"/>
        <family val="2"/>
      </rPr>
      <t xml:space="preserve"> worksheet (formerly </t>
    </r>
    <r>
      <rPr>
        <i/>
        <sz val="10"/>
        <rFont val="Arial"/>
        <family val="2"/>
      </rPr>
      <t xml:space="preserve">Instructions </t>
    </r>
    <r>
      <rPr>
        <sz val="10"/>
        <rFont val="Arial"/>
        <family val="2"/>
      </rPr>
      <t xml:space="preserve">worksheet) to include </t>
    </r>
    <r>
      <rPr>
        <i/>
        <sz val="10"/>
        <rFont val="Arial"/>
        <family val="2"/>
      </rPr>
      <t xml:space="preserve">Overview </t>
    </r>
    <r>
      <rPr>
        <sz val="10"/>
        <rFont val="Arial"/>
        <family val="2"/>
      </rPr>
      <t xml:space="preserve">section and </t>
    </r>
    <r>
      <rPr>
        <i/>
        <sz val="10"/>
        <rFont val="Arial"/>
        <family val="2"/>
      </rPr>
      <t>Applications and Limitations</t>
    </r>
    <r>
      <rPr>
        <sz val="10"/>
        <rFont val="Arial"/>
        <family val="2"/>
      </rPr>
      <t xml:space="preserve"> section (formerly </t>
    </r>
    <r>
      <rPr>
        <i/>
        <sz val="10"/>
        <rFont val="Arial"/>
        <family val="2"/>
      </rPr>
      <t>Guidelines</t>
    </r>
    <r>
      <rPr>
        <sz val="10"/>
        <rFont val="Arial"/>
        <family val="2"/>
      </rPr>
      <t xml:space="preserve"> section).  Minor modifications were made throughout the </t>
    </r>
    <r>
      <rPr>
        <i/>
        <sz val="10"/>
        <rFont val="Arial"/>
        <family val="2"/>
      </rPr>
      <t>Tank Summary</t>
    </r>
    <r>
      <rPr>
        <sz val="10"/>
        <rFont val="Arial"/>
        <family val="2"/>
      </rPr>
      <t xml:space="preserve"> and </t>
    </r>
    <r>
      <rPr>
        <i/>
        <sz val="10"/>
        <rFont val="Arial"/>
        <family val="2"/>
      </rPr>
      <t>Tank</t>
    </r>
    <r>
      <rPr>
        <sz val="10"/>
        <rFont val="Arial"/>
        <family val="2"/>
      </rPr>
      <t xml:space="preserve"> worksheets, so that terminology is consistent throughout the spreadsheet and with other distribution system optimization documentation.  Modified </t>
    </r>
    <r>
      <rPr>
        <i/>
        <sz val="10"/>
        <rFont val="Arial"/>
        <family val="2"/>
      </rPr>
      <t xml:space="preserve">Data Considerations </t>
    </r>
    <r>
      <rPr>
        <sz val="10"/>
        <rFont val="Arial"/>
        <family val="2"/>
      </rPr>
      <t xml:space="preserve">worksheet (formerly </t>
    </r>
    <r>
      <rPr>
        <i/>
        <sz val="10"/>
        <rFont val="Arial"/>
        <family val="2"/>
      </rPr>
      <t>Hints</t>
    </r>
    <r>
      <rPr>
        <sz val="10"/>
        <rFont val="Arial"/>
        <family val="2"/>
      </rPr>
      <t xml:space="preserve"> worksheet) to include content from </t>
    </r>
    <r>
      <rPr>
        <i/>
        <sz val="10"/>
        <rFont val="Arial"/>
        <family val="2"/>
      </rPr>
      <t>TankGuideline_v4a.doc</t>
    </r>
    <r>
      <rPr>
        <sz val="10"/>
        <rFont val="Arial"/>
        <family val="2"/>
      </rPr>
      <t>.</t>
    </r>
  </si>
  <si>
    <t>Section I:   Data Input - Tank Turnover and Mixing Calculations</t>
  </si>
  <si>
    <t>Section II:   Turnover Time &amp; Mixing Analysis</t>
  </si>
  <si>
    <r>
      <t xml:space="preserve">1.  Enter tank design data for each tank into </t>
    </r>
    <r>
      <rPr>
        <i/>
        <sz val="10"/>
        <rFont val="Arial"/>
        <family val="2"/>
      </rPr>
      <t xml:space="preserve">Section I </t>
    </r>
    <r>
      <rPr>
        <sz val="10"/>
        <rFont val="Arial"/>
        <family val="2"/>
      </rPr>
      <t xml:space="preserve">of the </t>
    </r>
    <r>
      <rPr>
        <i/>
        <sz val="10"/>
        <rFont val="Arial"/>
        <family val="2"/>
      </rPr>
      <t>Tank Summary</t>
    </r>
    <r>
      <rPr>
        <sz val="10"/>
        <rFont val="Arial"/>
        <family val="2"/>
      </rPr>
      <t xml:space="preserve"> worksheet</t>
    </r>
    <r>
      <rPr>
        <i/>
        <sz val="10"/>
        <rFont val="Arial"/>
        <family val="2"/>
      </rPr>
      <t xml:space="preserve"> </t>
    </r>
    <r>
      <rPr>
        <sz val="10"/>
        <rFont val="Arial"/>
        <family val="2"/>
      </rPr>
      <t>(</t>
    </r>
    <r>
      <rPr>
        <sz val="10"/>
        <color rgb="FFFF0000"/>
        <rFont val="Arial"/>
        <family val="2"/>
      </rPr>
      <t>user input is shown in red</t>
    </r>
    <r>
      <rPr>
        <sz val="10"/>
        <rFont val="Arial"/>
        <family val="2"/>
      </rPr>
      <t xml:space="preserve">).  </t>
    </r>
    <r>
      <rPr>
        <i/>
        <sz val="10"/>
        <rFont val="Arial"/>
        <family val="2"/>
      </rPr>
      <t xml:space="preserve">Section II </t>
    </r>
    <r>
      <rPr>
        <sz val="10"/>
        <rFont val="Arial"/>
        <family val="2"/>
      </rPr>
      <t xml:space="preserve">of the </t>
    </r>
    <r>
      <rPr>
        <i/>
        <sz val="10"/>
        <rFont val="Arial"/>
        <family val="2"/>
      </rPr>
      <t xml:space="preserve">Tank Summary </t>
    </r>
    <r>
      <rPr>
        <sz val="10"/>
        <rFont val="Arial"/>
        <family val="2"/>
      </rPr>
      <t xml:space="preserve">worksheet will be populated after data is entered into </t>
    </r>
    <r>
      <rPr>
        <i/>
        <sz val="10"/>
        <rFont val="Arial"/>
        <family val="2"/>
      </rPr>
      <t xml:space="preserve">Section I </t>
    </r>
    <r>
      <rPr>
        <sz val="10"/>
        <rFont val="Arial"/>
        <family val="2"/>
      </rPr>
      <t xml:space="preserve">and the respective </t>
    </r>
    <r>
      <rPr>
        <i/>
        <sz val="10"/>
        <rFont val="Arial"/>
        <family val="2"/>
      </rPr>
      <t>Tank</t>
    </r>
    <r>
      <rPr>
        <sz val="10"/>
        <rFont val="Arial"/>
        <family val="2"/>
      </rPr>
      <t xml:space="preserve"> worksheet.  </t>
    </r>
    <r>
      <rPr>
        <i/>
        <sz val="10"/>
        <rFont val="Arial"/>
        <family val="2"/>
      </rPr>
      <t/>
    </r>
  </si>
  <si>
    <r>
      <t xml:space="preserve">2.  Enter the tank level data into </t>
    </r>
    <r>
      <rPr>
        <i/>
        <sz val="10"/>
        <rFont val="Arial"/>
        <family val="2"/>
      </rPr>
      <t>Section I</t>
    </r>
    <r>
      <rPr>
        <sz val="10"/>
        <rFont val="Arial"/>
        <family val="2"/>
      </rPr>
      <t xml:space="preserve"> of the </t>
    </r>
    <r>
      <rPr>
        <i/>
        <sz val="10"/>
        <rFont val="Arial"/>
        <family val="2"/>
      </rPr>
      <t>Tank</t>
    </r>
    <r>
      <rPr>
        <sz val="10"/>
        <rFont val="Arial"/>
        <family val="2"/>
      </rPr>
      <t xml:space="preserve"> worksheet(s).  </t>
    </r>
  </si>
  <si>
    <t>Storage Tank Assessment Spreadsheet Introduction</t>
  </si>
  <si>
    <r>
      <t xml:space="preserve">Section III:  Chlorine Residual Analysis </t>
    </r>
    <r>
      <rPr>
        <b/>
        <sz val="14"/>
        <color rgb="FFFF0000"/>
        <rFont val="Arial"/>
        <family val="2"/>
      </rPr>
      <t>(</t>
    </r>
    <r>
      <rPr>
        <b/>
        <i/>
        <sz val="14"/>
        <color rgb="FFFF0000"/>
        <rFont val="Arial"/>
        <family val="2"/>
      </rPr>
      <t>Free Chlorine Systems Only</t>
    </r>
    <r>
      <rPr>
        <b/>
        <sz val="14"/>
        <color rgb="FFFF0000"/>
        <rFont val="Arial"/>
        <family val="2"/>
      </rPr>
      <t>)</t>
    </r>
  </si>
  <si>
    <r>
      <t xml:space="preserve">Section III:  Chlorine Residual Analysis </t>
    </r>
    <r>
      <rPr>
        <b/>
        <sz val="14"/>
        <color rgb="FFFF0000"/>
        <rFont val="Arial"/>
        <family val="2"/>
      </rPr>
      <t>(</t>
    </r>
    <r>
      <rPr>
        <b/>
        <i/>
        <sz val="14"/>
        <color rgb="FFFF0000"/>
        <rFont val="Arial"/>
        <family val="2"/>
      </rPr>
      <t>Free Chlorine Systems Only)</t>
    </r>
  </si>
  <si>
    <r>
      <t xml:space="preserve">Instructions:  Enter tank fill data (paired min/max levels with date and time) for up to 15 fill periods.  </t>
    </r>
    <r>
      <rPr>
        <b/>
        <sz val="10"/>
        <color indexed="10"/>
        <rFont val="Arial"/>
        <family val="2"/>
      </rPr>
      <t>Data inputted by the user are shown in red.</t>
    </r>
  </si>
  <si>
    <r>
      <t>MTA modified</t>
    </r>
    <r>
      <rPr>
        <i/>
        <sz val="10"/>
        <rFont val="Arial"/>
        <family val="2"/>
      </rPr>
      <t xml:space="preserve"> Introduction</t>
    </r>
    <r>
      <rPr>
        <sz val="10"/>
        <rFont val="Arial"/>
        <family val="2"/>
      </rPr>
      <t xml:space="preserve"> worksheet to include spreadsheet limitations in chloraminated water systems.</t>
    </r>
  </si>
  <si>
    <r>
      <t xml:space="preserve">•  The </t>
    </r>
    <r>
      <rPr>
        <i/>
        <sz val="10"/>
        <rFont val="Arial"/>
        <family val="2"/>
      </rPr>
      <t>Chlorine Residual Analysis</t>
    </r>
    <r>
      <rPr>
        <sz val="10"/>
        <rFont val="Arial"/>
        <family val="2"/>
      </rPr>
      <t xml:space="preserve"> section on the </t>
    </r>
    <r>
      <rPr>
        <i/>
        <sz val="10"/>
        <rFont val="Arial"/>
        <family val="2"/>
      </rPr>
      <t xml:space="preserve">Tank </t>
    </r>
    <r>
      <rPr>
        <sz val="10"/>
        <rFont val="Arial"/>
        <family val="2"/>
      </rPr>
      <t>worksheet(s) does not apply to chloraminated water systems.</t>
    </r>
  </si>
  <si>
    <t>y</t>
  </si>
  <si>
    <r>
      <t xml:space="preserve">TEW clarified definition of "desired mixing" in </t>
    </r>
    <r>
      <rPr>
        <i/>
        <sz val="10"/>
        <rFont val="Arial"/>
        <family val="2"/>
      </rPr>
      <t>Glossary</t>
    </r>
    <r>
      <rPr>
        <sz val="10"/>
        <rFont val="Arial"/>
        <family val="2"/>
      </rPr>
      <t xml:space="preserve"> worksheet.</t>
    </r>
  </si>
  <si>
    <t xml:space="preserve">     •  Tanks that do not have a known volume change to depth relationship.</t>
  </si>
  <si>
    <t>n</t>
  </si>
  <si>
    <t>Are the turnover time calculations applicable?</t>
  </si>
  <si>
    <t>Are the mixing equations applicable?</t>
  </si>
  <si>
    <r>
      <t xml:space="preserve">Are tank mixing equations applicable based on the </t>
    </r>
    <r>
      <rPr>
        <i/>
        <sz val="10"/>
        <rFont val="Arial"/>
        <family val="2"/>
      </rPr>
      <t>Introduction</t>
    </r>
    <r>
      <rPr>
        <sz val="10"/>
        <rFont val="Arial"/>
        <family val="2"/>
      </rPr>
      <t xml:space="preserve"> worksheet (y/n)?</t>
    </r>
  </si>
  <si>
    <t>Is tank level data in volume (y/n)?</t>
  </si>
  <si>
    <t>Tank diameter (if cylindrical/hydropillar) or longest sidewall length (if rectangular)(ft)</t>
  </si>
  <si>
    <t>Inlet Diameter (ft)</t>
  </si>
  <si>
    <t>Maximum Operating Water Depth (ft)</t>
  </si>
  <si>
    <r>
      <t>Is the tank operated fill-draw (fd) or flow-through</t>
    </r>
    <r>
      <rPr>
        <vertAlign val="superscript"/>
        <sz val="10"/>
        <rFont val="Arial"/>
        <family val="2"/>
      </rPr>
      <t>2</t>
    </r>
    <r>
      <rPr>
        <sz val="10"/>
        <rFont val="Arial"/>
        <family val="2"/>
      </rPr>
      <t xml:space="preserve"> (ft)?</t>
    </r>
  </si>
  <si>
    <t>Shortest sidewall length (If rectangular) (ft)</t>
  </si>
  <si>
    <t>r</t>
  </si>
  <si>
    <r>
      <rPr>
        <b/>
        <sz val="10"/>
        <color theme="1"/>
        <rFont val="Arial"/>
        <family val="2"/>
      </rPr>
      <t>Mixing Performance Ratio (PR):</t>
    </r>
    <r>
      <rPr>
        <sz val="10"/>
        <color theme="1"/>
        <rFont val="Arial"/>
        <family val="2"/>
      </rPr>
      <t xml:space="preserve">  A ratio used to describe estimated mixing performance, which is the ratio of actual mixing versus desired mixing.  "Desired mixing" is the level of mixing needed to achieve 95% uniformity throughout the tank, the equation for which was determined empirically based on tracer studies conducted on scale-model tanks by Rossman &amp; Grayman 1999 (see References section in "Introduction" worksheet). The operational guideline for storage tank operation suggests that the mixing performance ratio is greater than or equal to 1.0 at all storage tanks.</t>
    </r>
  </si>
  <si>
    <r>
      <t xml:space="preserve">3.  If the estimated turnover time and/or mixing is poor, </t>
    </r>
    <r>
      <rPr>
        <i/>
        <sz val="10"/>
        <rFont val="Arial"/>
        <family val="2"/>
      </rPr>
      <t>Section II</t>
    </r>
    <r>
      <rPr>
        <sz val="10"/>
        <rFont val="Arial"/>
        <family val="2"/>
      </rPr>
      <t xml:space="preserve"> of the </t>
    </r>
    <r>
      <rPr>
        <i/>
        <sz val="10"/>
        <rFont val="Arial"/>
        <family val="2"/>
      </rPr>
      <t>Tank</t>
    </r>
    <r>
      <rPr>
        <sz val="10"/>
        <rFont val="Arial"/>
        <family val="2"/>
      </rPr>
      <t xml:space="preserve"> worksheet will evaluate potential operational strategies and/or design strategies to improve tank performance.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</si>
</sst>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
    <numFmt numFmtId="165" formatCode="0.000"/>
    <numFmt numFmtId="166" formatCode="0.0"/>
    <numFmt numFmtId="167" formatCode="mm/dd/yy"/>
    <numFmt numFmtId="168" formatCode="m/d/yy\ h:mm"/>
    <numFmt numFmtId="169" formatCode="[$-409]h:mm\ AM/PM;@"/>
    <numFmt numFmtId="170" formatCode="mm/dd/yy;@"/>
    <numFmt numFmtId="171" formatCode="_(* #,##0_);_(* \(#,##0\);_(* &quot;-&quot;??_);_(@_)"/>
  </numFmts>
  <fonts count="29" x14ac:knownFonts="1">
    <font>
      <sz val="10"/>
      <name val="Arial"/>
    </font>
    <font>
      <sz val="10"/>
      <name val="Arial"/>
      <family val="2"/>
    </font>
    <font>
      <sz val="10"/>
      <name val="Arial"/>
      <family val="2"/>
    </font>
    <font>
      <b/>
      <sz val="10"/>
      <name val="Arial"/>
      <family val="2"/>
    </font>
    <font>
      <b/>
      <sz val="8"/>
      <color indexed="81"/>
      <name val="Tahoma"/>
      <family val="2"/>
    </font>
    <font>
      <sz val="14"/>
      <name val="Arial"/>
      <family val="2"/>
    </font>
    <font>
      <sz val="12"/>
      <name val="Arial"/>
      <family val="2"/>
    </font>
    <font>
      <b/>
      <sz val="12"/>
      <name val="Arial"/>
      <family val="2"/>
    </font>
    <font>
      <b/>
      <sz val="10"/>
      <color indexed="10"/>
      <name val="Arial"/>
      <family val="2"/>
    </font>
    <font>
      <b/>
      <u/>
      <sz val="12"/>
      <name val="Arial"/>
      <family val="2"/>
    </font>
    <font>
      <b/>
      <sz val="10"/>
      <color indexed="48"/>
      <name val="Arial"/>
      <family val="2"/>
    </font>
    <font>
      <vertAlign val="superscript"/>
      <sz val="10"/>
      <name val="Arial"/>
      <family val="2"/>
    </font>
    <font>
      <b/>
      <sz val="14"/>
      <name val="Arial"/>
      <family val="2"/>
    </font>
    <font>
      <b/>
      <sz val="16"/>
      <name val="Arial"/>
      <family val="2"/>
    </font>
    <font>
      <b/>
      <sz val="12"/>
      <color indexed="12"/>
      <name val="Arial"/>
      <family val="2"/>
    </font>
    <font>
      <u/>
      <sz val="10"/>
      <name val="Arial"/>
      <family val="2"/>
    </font>
    <font>
      <sz val="8"/>
      <name val="Arial"/>
      <family val="2"/>
    </font>
    <font>
      <i/>
      <sz val="10"/>
      <name val="Arial"/>
      <family val="2"/>
    </font>
    <font>
      <b/>
      <vertAlign val="superscript"/>
      <sz val="10"/>
      <name val="Arial"/>
      <family val="2"/>
    </font>
    <font>
      <b/>
      <u/>
      <sz val="10"/>
      <name val="Arial"/>
      <family val="2"/>
    </font>
    <font>
      <sz val="8"/>
      <name val="Arial"/>
      <family val="2"/>
    </font>
    <font>
      <b/>
      <sz val="10"/>
      <color rgb="FFFF0000"/>
      <name val="Arial"/>
      <family val="2"/>
    </font>
    <font>
      <sz val="10"/>
      <color rgb="FFFF0000"/>
      <name val="Arial"/>
      <family val="2"/>
    </font>
    <font>
      <b/>
      <i/>
      <sz val="10"/>
      <name val="Arial"/>
      <family val="2"/>
    </font>
    <font>
      <b/>
      <sz val="8"/>
      <name val="Arial"/>
      <family val="2"/>
    </font>
    <font>
      <b/>
      <sz val="14"/>
      <color rgb="FFFF0000"/>
      <name val="Arial"/>
      <family val="2"/>
    </font>
    <font>
      <b/>
      <i/>
      <sz val="14"/>
      <color rgb="FFFF0000"/>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9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75">
    <xf numFmtId="0" fontId="0" fillId="0" borderId="0" xfId="0"/>
    <xf numFmtId="0" fontId="0" fillId="0" borderId="0" xfId="0" applyAlignment="1">
      <alignment horizontal="left"/>
    </xf>
    <xf numFmtId="2" fontId="0" fillId="0" borderId="1" xfId="0" applyNumberFormat="1" applyBorder="1" applyAlignment="1">
      <alignment horizontal="left"/>
    </xf>
    <xf numFmtId="0" fontId="0" fillId="0" borderId="2" xfId="0" applyBorder="1" applyAlignment="1">
      <alignment horizontal="left"/>
    </xf>
    <xf numFmtId="0" fontId="3" fillId="0" borderId="3" xfId="0" applyFont="1" applyBorder="1" applyAlignment="1">
      <alignment horizontal="left"/>
    </xf>
    <xf numFmtId="0" fontId="0" fillId="0" borderId="4" xfId="0" applyBorder="1" applyAlignment="1">
      <alignment horizontal="left"/>
    </xf>
    <xf numFmtId="0" fontId="3" fillId="0" borderId="2" xfId="0" applyFont="1" applyBorder="1" applyAlignment="1">
      <alignment horizontal="left"/>
    </xf>
    <xf numFmtId="0" fontId="3" fillId="0" borderId="5" xfId="0" applyFont="1" applyBorder="1" applyAlignment="1">
      <alignment horizontal="left"/>
    </xf>
    <xf numFmtId="0" fontId="0" fillId="0" borderId="0" xfId="0" applyBorder="1" applyAlignment="1">
      <alignment horizontal="left"/>
    </xf>
    <xf numFmtId="0" fontId="0" fillId="2" borderId="7" xfId="0" applyFill="1" applyBorder="1"/>
    <xf numFmtId="0" fontId="2" fillId="0" borderId="0" xfId="0" applyFont="1" applyFill="1" applyBorder="1"/>
    <xf numFmtId="2" fontId="0" fillId="0" borderId="1" xfId="0" applyNumberFormat="1" applyBorder="1" applyAlignment="1">
      <alignment horizontal="center"/>
    </xf>
    <xf numFmtId="166" fontId="0" fillId="0" borderId="1" xfId="0" applyNumberForma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11" xfId="0" applyFont="1" applyBorder="1" applyAlignment="1">
      <alignment horizontal="left"/>
    </xf>
    <xf numFmtId="0" fontId="2" fillId="0" borderId="4" xfId="0" applyFont="1"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left"/>
    </xf>
    <xf numFmtId="2" fontId="8" fillId="0" borderId="0" xfId="0" applyNumberFormat="1" applyFont="1" applyBorder="1" applyAlignment="1">
      <alignment horizontal="right"/>
    </xf>
    <xf numFmtId="2" fontId="0" fillId="0" borderId="0" xfId="0" applyNumberFormat="1" applyFill="1" applyBorder="1" applyAlignment="1">
      <alignment horizontal="left"/>
    </xf>
    <xf numFmtId="2" fontId="0" fillId="0" borderId="0" xfId="0" applyNumberFormat="1" applyBorder="1" applyAlignment="1">
      <alignment horizontal="left"/>
    </xf>
    <xf numFmtId="166" fontId="0" fillId="3" borderId="1" xfId="0" applyNumberFormat="1" applyFill="1" applyBorder="1" applyAlignment="1">
      <alignment horizontal="center"/>
    </xf>
    <xf numFmtId="2" fontId="0" fillId="3" borderId="1" xfId="0" applyNumberFormat="1" applyFill="1" applyBorder="1" applyAlignment="1">
      <alignment horizontal="center"/>
    </xf>
    <xf numFmtId="0" fontId="0" fillId="0" borderId="0" xfId="0" applyFill="1" applyBorder="1"/>
    <xf numFmtId="0" fontId="0" fillId="0" borderId="0" xfId="0" applyBorder="1"/>
    <xf numFmtId="0" fontId="0" fillId="2" borderId="0" xfId="0" applyFill="1" applyBorder="1"/>
    <xf numFmtId="0" fontId="0" fillId="0" borderId="1" xfId="0" applyBorder="1" applyAlignment="1">
      <alignment horizontal="center"/>
    </xf>
    <xf numFmtId="2" fontId="0" fillId="0" borderId="1" xfId="0" applyNumberFormat="1" applyFill="1" applyBorder="1" applyAlignment="1">
      <alignment horizontal="center"/>
    </xf>
    <xf numFmtId="1" fontId="0" fillId="0" borderId="1" xfId="0" applyNumberFormat="1" applyBorder="1" applyAlignment="1">
      <alignment horizontal="center"/>
    </xf>
    <xf numFmtId="1" fontId="2" fillId="0" borderId="1" xfId="0" applyNumberFormat="1" applyFont="1" applyBorder="1" applyAlignment="1">
      <alignment horizontal="left"/>
    </xf>
    <xf numFmtId="166" fontId="2" fillId="0" borderId="25" xfId="0" applyNumberFormat="1" applyFont="1" applyBorder="1" applyAlignment="1">
      <alignment horizontal="left"/>
    </xf>
    <xf numFmtId="2" fontId="2" fillId="0" borderId="26" xfId="0" applyNumberFormat="1" applyFont="1" applyBorder="1" applyAlignment="1">
      <alignment horizontal="left"/>
    </xf>
    <xf numFmtId="0" fontId="3" fillId="0" borderId="26" xfId="0" applyFont="1" applyBorder="1" applyAlignment="1">
      <alignment horizontal="right"/>
    </xf>
    <xf numFmtId="0" fontId="3" fillId="0" borderId="25" xfId="0" applyFont="1" applyBorder="1" applyAlignment="1">
      <alignment horizontal="right"/>
    </xf>
    <xf numFmtId="0" fontId="3" fillId="0" borderId="27" xfId="0" applyFont="1" applyBorder="1" applyAlignment="1">
      <alignment horizontal="left"/>
    </xf>
    <xf numFmtId="0" fontId="0" fillId="0" borderId="28" xfId="0" applyBorder="1" applyAlignment="1">
      <alignment horizontal="left"/>
    </xf>
    <xf numFmtId="2" fontId="2" fillId="0" borderId="4" xfId="0" applyNumberFormat="1" applyFont="1" applyBorder="1"/>
    <xf numFmtId="0" fontId="3" fillId="0" borderId="29" xfId="0" applyFont="1" applyBorder="1" applyAlignment="1">
      <alignment horizontal="left"/>
    </xf>
    <xf numFmtId="0" fontId="2" fillId="0" borderId="30" xfId="0" applyFont="1" applyBorder="1" applyAlignment="1">
      <alignment horizontal="left"/>
    </xf>
    <xf numFmtId="1" fontId="0" fillId="0" borderId="31" xfId="0" applyNumberFormat="1" applyBorder="1" applyAlignment="1">
      <alignment horizontal="left"/>
    </xf>
    <xf numFmtId="166" fontId="2" fillId="0" borderId="32" xfId="0" applyNumberFormat="1" applyFont="1" applyBorder="1" applyAlignment="1">
      <alignment horizontal="left"/>
    </xf>
    <xf numFmtId="0" fontId="0" fillId="0" borderId="20" xfId="0" applyBorder="1" applyAlignment="1">
      <alignment horizontal="center"/>
    </xf>
    <xf numFmtId="2" fontId="0" fillId="0" borderId="4" xfId="0" applyNumberFormat="1" applyBorder="1" applyAlignment="1">
      <alignment horizontal="center"/>
    </xf>
    <xf numFmtId="2" fontId="0" fillId="0" borderId="31" xfId="0" applyNumberFormat="1" applyBorder="1" applyAlignment="1">
      <alignment horizontal="center"/>
    </xf>
    <xf numFmtId="2" fontId="0" fillId="0" borderId="10" xfId="0" applyNumberFormat="1" applyBorder="1" applyAlignment="1">
      <alignment horizontal="center"/>
    </xf>
    <xf numFmtId="2" fontId="0" fillId="0" borderId="19" xfId="0" applyNumberFormat="1" applyBorder="1" applyAlignment="1">
      <alignment horizontal="center"/>
    </xf>
    <xf numFmtId="0" fontId="0" fillId="0" borderId="13" xfId="0" applyBorder="1" applyAlignment="1">
      <alignment horizontal="left"/>
    </xf>
    <xf numFmtId="0" fontId="0" fillId="0" borderId="33" xfId="0" applyBorder="1" applyAlignment="1">
      <alignment horizontal="left"/>
    </xf>
    <xf numFmtId="0" fontId="0" fillId="0" borderId="17" xfId="0" applyBorder="1" applyAlignment="1">
      <alignment horizontal="center" wrapText="1"/>
    </xf>
    <xf numFmtId="0" fontId="8" fillId="0" borderId="0" xfId="0" applyFont="1" applyBorder="1" applyAlignment="1">
      <alignment horizontal="center"/>
    </xf>
    <xf numFmtId="166" fontId="3" fillId="0" borderId="28" xfId="0" applyNumberFormat="1" applyFont="1" applyBorder="1" applyAlignment="1">
      <alignment horizontal="left"/>
    </xf>
    <xf numFmtId="0" fontId="0" fillId="0" borderId="1" xfId="0" applyBorder="1" applyAlignment="1">
      <alignment horizontal="left"/>
    </xf>
    <xf numFmtId="0" fontId="0" fillId="0" borderId="26" xfId="0" applyBorder="1" applyAlignment="1">
      <alignment horizontal="left"/>
    </xf>
    <xf numFmtId="0" fontId="3" fillId="0" borderId="34" xfId="0" applyFont="1" applyBorder="1" applyAlignment="1">
      <alignment horizontal="left"/>
    </xf>
    <xf numFmtId="0" fontId="0" fillId="0" borderId="35" xfId="0" applyBorder="1" applyAlignment="1">
      <alignment horizontal="left"/>
    </xf>
    <xf numFmtId="0" fontId="3" fillId="0" borderId="36" xfId="0" applyFont="1" applyFill="1" applyBorder="1" applyAlignment="1">
      <alignment horizontal="left"/>
    </xf>
    <xf numFmtId="0" fontId="0" fillId="0" borderId="24" xfId="0" applyFill="1" applyBorder="1" applyAlignment="1">
      <alignment horizontal="left"/>
    </xf>
    <xf numFmtId="2" fontId="2" fillId="0" borderId="35" xfId="0" applyNumberFormat="1" applyFont="1" applyBorder="1" applyAlignment="1">
      <alignment horizontal="left"/>
    </xf>
    <xf numFmtId="0" fontId="2" fillId="0" borderId="19" xfId="0" applyFont="1" applyBorder="1" applyAlignment="1">
      <alignment horizontal="left"/>
    </xf>
    <xf numFmtId="0" fontId="0" fillId="0" borderId="37" xfId="0" applyBorder="1" applyAlignment="1">
      <alignment horizontal="left"/>
    </xf>
    <xf numFmtId="166" fontId="2" fillId="0" borderId="24" xfId="0" applyNumberFormat="1" applyFont="1" applyBorder="1" applyAlignment="1">
      <alignment horizontal="left"/>
    </xf>
    <xf numFmtId="2" fontId="0" fillId="0" borderId="2" xfId="0" applyNumberFormat="1" applyBorder="1" applyAlignment="1">
      <alignment horizontal="center"/>
    </xf>
    <xf numFmtId="0" fontId="2" fillId="0" borderId="1" xfId="0" applyFont="1" applyBorder="1" applyAlignment="1">
      <alignment horizontal="center"/>
    </xf>
    <xf numFmtId="0" fontId="2" fillId="0" borderId="38" xfId="0" applyFont="1" applyBorder="1" applyAlignment="1">
      <alignment horizontal="center"/>
    </xf>
    <xf numFmtId="0" fontId="2" fillId="0" borderId="20" xfId="0" applyFont="1" applyBorder="1" applyAlignment="1">
      <alignment horizontal="center"/>
    </xf>
    <xf numFmtId="0" fontId="2" fillId="0" borderId="39" xfId="0" applyFont="1" applyBorder="1" applyAlignment="1">
      <alignment horizontal="center"/>
    </xf>
    <xf numFmtId="0" fontId="0" fillId="0" borderId="35" xfId="0" applyBorder="1" applyAlignment="1">
      <alignment horizontal="center"/>
    </xf>
    <xf numFmtId="0" fontId="0" fillId="0" borderId="21"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2" fontId="2" fillId="0" borderId="10" xfId="0" applyNumberFormat="1" applyFont="1" applyBorder="1" applyAlignment="1">
      <alignment horizontal="center"/>
    </xf>
    <xf numFmtId="2" fontId="0" fillId="0" borderId="10" xfId="0" applyNumberFormat="1" applyFill="1" applyBorder="1" applyAlignment="1">
      <alignment horizontal="center"/>
    </xf>
    <xf numFmtId="2" fontId="0" fillId="0" borderId="22" xfId="0" applyNumberFormat="1" applyBorder="1" applyAlignment="1">
      <alignment horizontal="center"/>
    </xf>
    <xf numFmtId="0" fontId="0" fillId="0" borderId="3" xfId="0" applyBorder="1" applyAlignment="1">
      <alignment horizontal="center"/>
    </xf>
    <xf numFmtId="0" fontId="0" fillId="0" borderId="42" xfId="0" applyBorder="1" applyAlignment="1">
      <alignment horizontal="center"/>
    </xf>
    <xf numFmtId="2" fontId="2" fillId="0" borderId="43" xfId="0" applyNumberFormat="1" applyFont="1" applyBorder="1" applyAlignment="1">
      <alignment horizontal="center"/>
    </xf>
    <xf numFmtId="2" fontId="2" fillId="0" borderId="1" xfId="0" applyNumberFormat="1" applyFont="1" applyBorder="1" applyAlignment="1">
      <alignment horizontal="center"/>
    </xf>
    <xf numFmtId="0" fontId="3" fillId="0" borderId="1" xfId="0" applyFont="1" applyBorder="1" applyAlignment="1">
      <alignment horizontal="center"/>
    </xf>
    <xf numFmtId="0" fontId="8" fillId="0" borderId="0" xfId="0" applyFont="1" applyBorder="1" applyAlignment="1">
      <alignment horizontal="left" wrapText="1"/>
    </xf>
    <xf numFmtId="166" fontId="2" fillId="0" borderId="26" xfId="0" applyNumberFormat="1" applyFont="1" applyBorder="1" applyAlignment="1">
      <alignment horizontal="left"/>
    </xf>
    <xf numFmtId="2" fontId="3" fillId="0" borderId="1" xfId="0" applyNumberFormat="1" applyFont="1" applyBorder="1" applyAlignment="1">
      <alignment horizontal="center"/>
    </xf>
    <xf numFmtId="166" fontId="3" fillId="0" borderId="1" xfId="0" applyNumberFormat="1" applyFont="1" applyBorder="1" applyAlignment="1">
      <alignment horizontal="center"/>
    </xf>
    <xf numFmtId="167" fontId="8" fillId="0" borderId="1" xfId="0" applyNumberFormat="1" applyFont="1" applyBorder="1" applyProtection="1">
      <protection locked="0"/>
    </xf>
    <xf numFmtId="18" fontId="8" fillId="0" borderId="1" xfId="0" applyNumberFormat="1" applyFont="1" applyBorder="1" applyProtection="1">
      <protection locked="0"/>
    </xf>
    <xf numFmtId="167" fontId="8" fillId="3" borderId="1" xfId="0" applyNumberFormat="1" applyFont="1" applyFill="1" applyBorder="1" applyProtection="1">
      <protection locked="0"/>
    </xf>
    <xf numFmtId="18" fontId="8" fillId="3" borderId="1" xfId="0" applyNumberFormat="1" applyFont="1" applyFill="1" applyBorder="1" applyProtection="1">
      <protection locked="0"/>
    </xf>
    <xf numFmtId="2" fontId="0" fillId="0" borderId="44" xfId="0" applyNumberFormat="1" applyFill="1" applyBorder="1" applyAlignment="1">
      <alignment horizontal="center"/>
    </xf>
    <xf numFmtId="0" fontId="0" fillId="0" borderId="45" xfId="0" applyBorder="1" applyAlignment="1">
      <alignment horizontal="center"/>
    </xf>
    <xf numFmtId="2" fontId="3" fillId="0" borderId="1" xfId="0" applyNumberFormat="1" applyFont="1" applyBorder="1" applyAlignment="1">
      <alignment horizontal="right"/>
    </xf>
    <xf numFmtId="168" fontId="2" fillId="0" borderId="1" xfId="0" applyNumberFormat="1" applyFont="1" applyBorder="1" applyAlignment="1">
      <alignment horizontal="center"/>
    </xf>
    <xf numFmtId="2" fontId="8" fillId="0" borderId="1" xfId="0" applyNumberFormat="1" applyFont="1" applyBorder="1" applyProtection="1">
      <protection locked="0"/>
    </xf>
    <xf numFmtId="2" fontId="8" fillId="3" borderId="1" xfId="0" applyNumberFormat="1" applyFont="1" applyFill="1" applyBorder="1" applyProtection="1">
      <protection locked="0"/>
    </xf>
    <xf numFmtId="167" fontId="8" fillId="0" borderId="1" xfId="0" applyNumberFormat="1" applyFont="1" applyFill="1" applyBorder="1" applyProtection="1">
      <protection locked="0"/>
    </xf>
    <xf numFmtId="168" fontId="2" fillId="3" borderId="1" xfId="0" applyNumberFormat="1" applyFont="1" applyFill="1" applyBorder="1" applyAlignment="1">
      <alignment horizontal="center"/>
    </xf>
    <xf numFmtId="0" fontId="0" fillId="0" borderId="46" xfId="0" applyBorder="1" applyAlignment="1">
      <alignment horizontal="left"/>
    </xf>
    <xf numFmtId="0" fontId="0" fillId="0" borderId="47" xfId="0" applyBorder="1" applyAlignment="1">
      <alignment horizontal="left"/>
    </xf>
    <xf numFmtId="0" fontId="0" fillId="0" borderId="8" xfId="0" applyBorder="1" applyAlignment="1">
      <alignment horizontal="left"/>
    </xf>
    <xf numFmtId="0" fontId="3" fillId="0" borderId="0" xfId="0" applyFont="1" applyBorder="1" applyAlignment="1">
      <alignment horizontal="left"/>
    </xf>
    <xf numFmtId="0" fontId="0" fillId="0" borderId="48" xfId="0" applyBorder="1" applyAlignment="1">
      <alignment horizontal="left"/>
    </xf>
    <xf numFmtId="0" fontId="3" fillId="0" borderId="0" xfId="0" applyFont="1" applyBorder="1"/>
    <xf numFmtId="0" fontId="8" fillId="0" borderId="0" xfId="0" applyFont="1" applyBorder="1" applyAlignment="1">
      <alignment horizontal="left"/>
    </xf>
    <xf numFmtId="165" fontId="0" fillId="0" borderId="0" xfId="0" applyNumberFormat="1" applyBorder="1" applyAlignment="1">
      <alignment horizontal="left"/>
    </xf>
    <xf numFmtId="164" fontId="0" fillId="0" borderId="0" xfId="0" applyNumberFormat="1" applyBorder="1" applyAlignment="1">
      <alignment horizontal="left"/>
    </xf>
    <xf numFmtId="0" fontId="3" fillId="0" borderId="0" xfId="0" applyFont="1" applyBorder="1" applyAlignment="1">
      <alignment horizontal="centerContinuous"/>
    </xf>
    <xf numFmtId="0" fontId="0" fillId="0" borderId="0" xfId="0" applyBorder="1" applyAlignment="1">
      <alignment horizontal="centerContinuous"/>
    </xf>
    <xf numFmtId="0" fontId="0" fillId="0" borderId="49" xfId="0" applyBorder="1" applyAlignment="1">
      <alignment horizontal="left"/>
    </xf>
    <xf numFmtId="0" fontId="0" fillId="0" borderId="50" xfId="0" applyBorder="1" applyAlignment="1">
      <alignment horizontal="left"/>
    </xf>
    <xf numFmtId="0" fontId="0" fillId="0" borderId="51" xfId="0" applyBorder="1" applyAlignment="1">
      <alignment horizontal="left"/>
    </xf>
    <xf numFmtId="0" fontId="0" fillId="0" borderId="46" xfId="0" applyBorder="1"/>
    <xf numFmtId="0" fontId="3" fillId="0" borderId="0" xfId="0" applyFont="1" applyBorder="1" applyAlignment="1">
      <alignment wrapText="1"/>
    </xf>
    <xf numFmtId="2" fontId="8" fillId="0" borderId="50" xfId="0" applyNumberFormat="1" applyFont="1" applyBorder="1"/>
    <xf numFmtId="2" fontId="0" fillId="0" borderId="50" xfId="0" applyNumberFormat="1" applyBorder="1" applyAlignment="1">
      <alignment horizontal="center"/>
    </xf>
    <xf numFmtId="0" fontId="3" fillId="4" borderId="7" xfId="0" applyFont="1" applyFill="1" applyBorder="1" applyAlignment="1">
      <alignment horizontal="centerContinuous"/>
    </xf>
    <xf numFmtId="0" fontId="3" fillId="4" borderId="6" xfId="0" applyFont="1" applyFill="1" applyBorder="1" applyAlignment="1">
      <alignment horizontal="left"/>
    </xf>
    <xf numFmtId="0" fontId="6" fillId="4" borderId="7" xfId="0" applyFont="1" applyFill="1" applyBorder="1"/>
    <xf numFmtId="0" fontId="0" fillId="4" borderId="7" xfId="0" applyFill="1" applyBorder="1"/>
    <xf numFmtId="0" fontId="0" fillId="0" borderId="48" xfId="0" applyBorder="1"/>
    <xf numFmtId="0" fontId="10" fillId="0" borderId="0" xfId="0" applyFont="1" applyBorder="1"/>
    <xf numFmtId="0" fontId="0" fillId="0" borderId="51" xfId="0" applyBorder="1"/>
    <xf numFmtId="0" fontId="0" fillId="0" borderId="50" xfId="0" applyBorder="1"/>
    <xf numFmtId="0" fontId="12" fillId="4" borderId="6" xfId="0" applyFont="1" applyFill="1" applyBorder="1" applyAlignment="1">
      <alignment horizontal="left"/>
    </xf>
    <xf numFmtId="0" fontId="7" fillId="4" borderId="7" xfId="0" applyFont="1" applyFill="1" applyBorder="1" applyAlignment="1">
      <alignment horizontal="left"/>
    </xf>
    <xf numFmtId="0" fontId="0" fillId="4" borderId="7" xfId="0" applyFill="1" applyBorder="1" applyAlignment="1">
      <alignment horizontal="left"/>
    </xf>
    <xf numFmtId="0" fontId="0" fillId="4" borderId="52" xfId="0" applyFill="1" applyBorder="1" applyAlignment="1">
      <alignment horizontal="left"/>
    </xf>
    <xf numFmtId="0" fontId="7" fillId="4" borderId="7" xfId="0" applyFont="1" applyFill="1" applyBorder="1"/>
    <xf numFmtId="0" fontId="9" fillId="4" borderId="7" xfId="0" applyFont="1" applyFill="1" applyBorder="1"/>
    <xf numFmtId="0" fontId="3" fillId="0" borderId="26" xfId="0" applyFont="1" applyBorder="1"/>
    <xf numFmtId="0" fontId="3" fillId="0" borderId="26" xfId="0" applyFont="1" applyBorder="1" applyAlignment="1">
      <alignment wrapText="1"/>
    </xf>
    <xf numFmtId="2" fontId="0" fillId="0" borderId="26" xfId="0" applyNumberFormat="1" applyBorder="1" applyAlignment="1">
      <alignment horizontal="center"/>
    </xf>
    <xf numFmtId="0" fontId="3" fillId="0" borderId="21" xfId="0" applyFont="1" applyBorder="1" applyAlignment="1">
      <alignment wrapText="1"/>
    </xf>
    <xf numFmtId="43" fontId="1" fillId="0" borderId="0" xfId="1" applyNumberFormat="1" applyBorder="1" applyAlignment="1">
      <alignment horizontal="left"/>
    </xf>
    <xf numFmtId="0" fontId="8" fillId="5" borderId="1" xfId="0" applyFont="1" applyFill="1" applyBorder="1" applyAlignment="1" applyProtection="1">
      <alignment horizontal="center"/>
      <protection locked="0"/>
    </xf>
    <xf numFmtId="2" fontId="8" fillId="0" borderId="1" xfId="0" applyNumberFormat="1" applyFont="1" applyBorder="1" applyAlignment="1" applyProtection="1">
      <alignment horizontal="center"/>
      <protection locked="0"/>
    </xf>
    <xf numFmtId="2" fontId="0" fillId="0" borderId="31" xfId="0" applyNumberFormat="1" applyFill="1" applyBorder="1" applyAlignment="1">
      <alignment horizontal="center"/>
    </xf>
    <xf numFmtId="2" fontId="0" fillId="0" borderId="43" xfId="0" applyNumberFormat="1" applyBorder="1" applyAlignment="1">
      <alignment horizontal="center"/>
    </xf>
    <xf numFmtId="2" fontId="0" fillId="0" borderId="43" xfId="0" applyNumberFormat="1" applyFill="1" applyBorder="1" applyAlignment="1">
      <alignment horizontal="center"/>
    </xf>
    <xf numFmtId="2" fontId="2" fillId="0" borderId="1" xfId="0" applyNumberFormat="1" applyFont="1" applyBorder="1" applyAlignment="1">
      <alignment horizontal="left"/>
    </xf>
    <xf numFmtId="2" fontId="2" fillId="0" borderId="10" xfId="0" applyNumberFormat="1" applyFont="1" applyBorder="1" applyAlignment="1">
      <alignment horizontal="left"/>
    </xf>
    <xf numFmtId="2" fontId="8" fillId="0" borderId="10" xfId="0" applyNumberFormat="1" applyFont="1" applyBorder="1" applyAlignment="1" applyProtection="1">
      <alignment horizontal="right"/>
      <protection locked="0"/>
    </xf>
    <xf numFmtId="2" fontId="2" fillId="0" borderId="26" xfId="0" applyNumberFormat="1" applyFont="1" applyBorder="1" applyAlignment="1">
      <alignment horizontal="center"/>
    </xf>
    <xf numFmtId="0" fontId="3" fillId="0" borderId="1" xfId="0" applyFont="1" applyBorder="1" applyAlignment="1">
      <alignment horizontal="center" wrapText="1"/>
    </xf>
    <xf numFmtId="0" fontId="14" fillId="0" borderId="20" xfId="0" applyFont="1" applyBorder="1" applyAlignment="1">
      <alignment wrapText="1"/>
    </xf>
    <xf numFmtId="0" fontId="8" fillId="0" borderId="0" xfId="0" applyFont="1" applyBorder="1"/>
    <xf numFmtId="2" fontId="3" fillId="0" borderId="1" xfId="0" applyNumberFormat="1" applyFont="1" applyBorder="1" applyAlignment="1" applyProtection="1">
      <alignment horizontal="center"/>
    </xf>
    <xf numFmtId="0" fontId="8" fillId="5" borderId="9" xfId="0" applyFont="1" applyFill="1" applyBorder="1" applyAlignment="1" applyProtection="1">
      <alignment horizontal="center"/>
      <protection locked="0"/>
    </xf>
    <xf numFmtId="0" fontId="0" fillId="0" borderId="0" xfId="0" applyProtection="1"/>
    <xf numFmtId="0" fontId="3" fillId="3" borderId="26" xfId="0" applyFont="1" applyFill="1" applyBorder="1" applyAlignment="1">
      <alignment wrapText="1"/>
    </xf>
    <xf numFmtId="2" fontId="3" fillId="3" borderId="26" xfId="2" applyNumberFormat="1" applyFont="1" applyFill="1" applyBorder="1" applyAlignment="1">
      <alignment horizontal="center"/>
    </xf>
    <xf numFmtId="2" fontId="3" fillId="3" borderId="1" xfId="2" applyNumberFormat="1" applyFont="1" applyFill="1" applyBorder="1" applyAlignment="1">
      <alignment horizontal="center"/>
    </xf>
    <xf numFmtId="166" fontId="3" fillId="3" borderId="1" xfId="0" applyNumberFormat="1" applyFont="1" applyFill="1" applyBorder="1" applyAlignment="1">
      <alignment horizontal="center"/>
    </xf>
    <xf numFmtId="2" fontId="3" fillId="3" borderId="26" xfId="0" applyNumberFormat="1" applyFont="1" applyFill="1" applyBorder="1" applyAlignment="1">
      <alignment horizontal="center"/>
    </xf>
    <xf numFmtId="166" fontId="3" fillId="3" borderId="26" xfId="0" applyNumberFormat="1" applyFont="1" applyFill="1" applyBorder="1" applyAlignment="1">
      <alignment horizontal="center"/>
    </xf>
    <xf numFmtId="0" fontId="19" fillId="3" borderId="26" xfId="0" applyFont="1" applyFill="1" applyBorder="1" applyAlignment="1">
      <alignment wrapText="1"/>
    </xf>
    <xf numFmtId="166" fontId="2" fillId="0" borderId="26" xfId="0" applyNumberFormat="1" applyFont="1" applyBorder="1" applyAlignment="1">
      <alignment horizontal="center"/>
    </xf>
    <xf numFmtId="2" fontId="3" fillId="3" borderId="1" xfId="0" applyNumberFormat="1" applyFont="1" applyFill="1" applyBorder="1" applyAlignment="1">
      <alignment horizontal="center" wrapText="1"/>
    </xf>
    <xf numFmtId="2" fontId="8" fillId="0" borderId="26" xfId="0" applyNumberFormat="1" applyFont="1" applyBorder="1" applyAlignment="1" applyProtection="1">
      <alignment horizontal="center"/>
      <protection locked="0"/>
    </xf>
    <xf numFmtId="0" fontId="0" fillId="0" borderId="10" xfId="0" applyBorder="1" applyAlignment="1">
      <alignment horizontal="right"/>
    </xf>
    <xf numFmtId="0" fontId="14" fillId="0" borderId="0" xfId="0" applyFont="1" applyBorder="1" applyAlignment="1">
      <alignment wrapText="1"/>
    </xf>
    <xf numFmtId="0" fontId="0" fillId="0" borderId="34" xfId="0" applyBorder="1" applyAlignment="1">
      <alignment horizontal="left"/>
    </xf>
    <xf numFmtId="0" fontId="10" fillId="0" borderId="0" xfId="0" applyFont="1" applyBorder="1" applyAlignment="1">
      <alignment horizontal="left"/>
    </xf>
    <xf numFmtId="0" fontId="0" fillId="0" borderId="0" xfId="0" applyFill="1" applyBorder="1" applyAlignment="1">
      <alignment horizontal="left"/>
    </xf>
    <xf numFmtId="0" fontId="0" fillId="0" borderId="1" xfId="0" applyBorder="1" applyAlignment="1">
      <alignment horizontal="right"/>
    </xf>
    <xf numFmtId="0" fontId="3" fillId="0" borderId="1" xfId="0" applyFont="1" applyBorder="1" applyAlignment="1">
      <alignment horizontal="right"/>
    </xf>
    <xf numFmtId="0" fontId="3" fillId="0" borderId="10" xfId="0" applyFont="1" applyBorder="1" applyAlignment="1">
      <alignment horizontal="right"/>
    </xf>
    <xf numFmtId="0" fontId="0" fillId="0" borderId="1" xfId="0" applyBorder="1" applyAlignment="1">
      <alignment horizontal="right" wrapText="1"/>
    </xf>
    <xf numFmtId="2" fontId="3" fillId="0" borderId="10" xfId="0" applyNumberFormat="1" applyFont="1" applyBorder="1" applyAlignment="1">
      <alignment horizontal="right"/>
    </xf>
    <xf numFmtId="1" fontId="3" fillId="0" borderId="10" xfId="0" applyNumberFormat="1" applyFont="1" applyBorder="1" applyAlignment="1">
      <alignment horizontal="right"/>
    </xf>
    <xf numFmtId="0" fontId="0" fillId="0" borderId="10" xfId="0" applyBorder="1" applyAlignment="1">
      <alignment horizontal="right" wrapText="1"/>
    </xf>
    <xf numFmtId="1" fontId="0" fillId="0" borderId="1" xfId="0" applyNumberFormat="1" applyBorder="1" applyAlignment="1" applyProtection="1">
      <alignment horizontal="center"/>
      <protection locked="0"/>
    </xf>
    <xf numFmtId="2" fontId="3" fillId="0" borderId="1" xfId="0" applyNumberFormat="1" applyFont="1" applyBorder="1" applyAlignment="1">
      <alignment horizontal="left"/>
    </xf>
    <xf numFmtId="0" fontId="3" fillId="4" borderId="7" xfId="0" applyFont="1" applyFill="1" applyBorder="1" applyAlignment="1">
      <alignment horizontal="left"/>
    </xf>
    <xf numFmtId="0" fontId="21" fillId="0" borderId="26" xfId="0" applyFont="1" applyBorder="1" applyAlignment="1">
      <alignment wrapText="1"/>
    </xf>
    <xf numFmtId="2" fontId="2" fillId="0" borderId="26" xfId="0" applyNumberFormat="1" applyFont="1" applyBorder="1" applyAlignment="1" applyProtection="1">
      <alignment horizontal="center"/>
      <protection locked="0"/>
    </xf>
    <xf numFmtId="2" fontId="2" fillId="0" borderId="1" xfId="0" applyNumberFormat="1" applyFont="1" applyBorder="1" applyAlignment="1" applyProtection="1">
      <alignment horizontal="center"/>
      <protection locked="0"/>
    </xf>
    <xf numFmtId="0" fontId="0" fillId="4" borderId="52" xfId="0" applyFill="1" applyBorder="1"/>
    <xf numFmtId="0" fontId="2" fillId="0" borderId="8"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8" fillId="5"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protection locked="0"/>
    </xf>
    <xf numFmtId="2" fontId="8" fillId="5" borderId="1" xfId="0" applyNumberFormat="1" applyFont="1" applyFill="1" applyBorder="1" applyAlignment="1" applyProtection="1">
      <alignment horizontal="center" vertical="center"/>
      <protection locked="0"/>
    </xf>
    <xf numFmtId="0" fontId="5" fillId="6" borderId="0" xfId="0" applyFont="1" applyFill="1"/>
    <xf numFmtId="0" fontId="6" fillId="6" borderId="0" xfId="0" applyFont="1" applyFill="1"/>
    <xf numFmtId="0" fontId="0" fillId="6" borderId="0" xfId="0" applyFill="1"/>
    <xf numFmtId="14" fontId="3" fillId="6" borderId="0" xfId="0" applyNumberFormat="1" applyFont="1" applyFill="1"/>
    <xf numFmtId="0" fontId="0" fillId="6" borderId="0" xfId="0" applyFill="1" applyBorder="1"/>
    <xf numFmtId="0" fontId="2" fillId="6" borderId="0" xfId="0" applyFont="1" applyFill="1" applyBorder="1"/>
    <xf numFmtId="0" fontId="2" fillId="6" borderId="8" xfId="0" applyFont="1" applyFill="1" applyBorder="1" applyAlignment="1">
      <alignment horizontal="left" vertical="center"/>
    </xf>
    <xf numFmtId="0" fontId="2" fillId="6" borderId="0" xfId="0" applyFont="1" applyFill="1" applyBorder="1" applyAlignment="1">
      <alignment horizontal="left" wrapText="1"/>
    </xf>
    <xf numFmtId="0" fontId="0" fillId="6" borderId="0" xfId="0" applyFill="1" applyBorder="1" applyAlignment="1">
      <alignment horizontal="left" vertical="center"/>
    </xf>
    <xf numFmtId="0" fontId="3" fillId="7" borderId="6" xfId="0" applyFont="1" applyFill="1" applyBorder="1" applyAlignment="1">
      <alignment horizontal="left"/>
    </xf>
    <xf numFmtId="0" fontId="3" fillId="7" borderId="7" xfId="0" applyFont="1" applyFill="1" applyBorder="1" applyAlignment="1">
      <alignment horizontal="centerContinuous"/>
    </xf>
    <xf numFmtId="0" fontId="6" fillId="7" borderId="7" xfId="0" applyFont="1" applyFill="1" applyBorder="1"/>
    <xf numFmtId="0" fontId="0" fillId="7" borderId="7" xfId="0" applyFill="1" applyBorder="1"/>
    <xf numFmtId="0" fontId="0" fillId="7" borderId="52" xfId="0" applyFill="1" applyBorder="1"/>
    <xf numFmtId="0" fontId="0" fillId="6" borderId="34" xfId="0" applyFill="1" applyBorder="1"/>
    <xf numFmtId="0" fontId="0" fillId="6" borderId="46" xfId="0" applyFill="1" applyBorder="1"/>
    <xf numFmtId="0" fontId="0" fillId="6" borderId="47" xfId="0" applyFill="1" applyBorder="1"/>
    <xf numFmtId="0" fontId="3" fillId="6" borderId="8" xfId="0" applyFont="1" applyFill="1" applyBorder="1"/>
    <xf numFmtId="0" fontId="0" fillId="6" borderId="48" xfId="0" applyFill="1" applyBorder="1"/>
    <xf numFmtId="0" fontId="0" fillId="6" borderId="49" xfId="0" applyFill="1" applyBorder="1" applyAlignment="1">
      <alignment horizontal="left" wrapText="1"/>
    </xf>
    <xf numFmtId="0" fontId="0" fillId="6" borderId="50" xfId="0" applyFill="1" applyBorder="1" applyAlignment="1">
      <alignment horizontal="left" wrapText="1"/>
    </xf>
    <xf numFmtId="0" fontId="0" fillId="6" borderId="51" xfId="0" applyFill="1" applyBorder="1" applyAlignment="1">
      <alignment horizontal="left" wrapText="1"/>
    </xf>
    <xf numFmtId="0" fontId="3" fillId="6" borderId="34" xfId="0" applyFont="1" applyFill="1" applyBorder="1"/>
    <xf numFmtId="0" fontId="0" fillId="6" borderId="0" xfId="0" applyFill="1" applyBorder="1" applyAlignment="1">
      <alignment horizontal="center"/>
    </xf>
    <xf numFmtId="0" fontId="2" fillId="6" borderId="0" xfId="0" applyFont="1" applyFill="1" applyBorder="1" applyAlignment="1">
      <alignment horizontal="center"/>
    </xf>
    <xf numFmtId="0" fontId="0" fillId="6" borderId="8" xfId="0" applyFill="1" applyBorder="1" applyAlignment="1">
      <alignment horizontal="left"/>
    </xf>
    <xf numFmtId="0" fontId="0" fillId="6" borderId="0" xfId="0" applyFill="1" applyBorder="1" applyAlignment="1">
      <alignment horizontal="left"/>
    </xf>
    <xf numFmtId="0" fontId="3" fillId="6" borderId="8" xfId="0" applyFont="1" applyFill="1" applyBorder="1" applyAlignment="1">
      <alignment horizontal="left"/>
    </xf>
    <xf numFmtId="0" fontId="0" fillId="6" borderId="0" xfId="0" applyFill="1" applyBorder="1" applyAlignment="1">
      <alignment horizontal="right"/>
    </xf>
    <xf numFmtId="0" fontId="8" fillId="6" borderId="0" xfId="0" applyFont="1" applyFill="1" applyBorder="1" applyAlignment="1">
      <alignment horizontal="center"/>
    </xf>
    <xf numFmtId="0" fontId="3" fillId="6" borderId="1" xfId="0" applyFont="1" applyFill="1" applyBorder="1" applyAlignment="1">
      <alignment horizontal="center"/>
    </xf>
    <xf numFmtId="0" fontId="0" fillId="6" borderId="49" xfId="0" applyFill="1" applyBorder="1" applyAlignment="1">
      <alignment horizontal="left"/>
    </xf>
    <xf numFmtId="0" fontId="0" fillId="6" borderId="50" xfId="0" applyFill="1" applyBorder="1" applyAlignment="1">
      <alignment horizontal="left"/>
    </xf>
    <xf numFmtId="0" fontId="0" fillId="6" borderId="50" xfId="0" applyFill="1" applyBorder="1" applyAlignment="1">
      <alignment horizontal="right"/>
    </xf>
    <xf numFmtId="0" fontId="0" fillId="6" borderId="50" xfId="0" applyFill="1" applyBorder="1" applyAlignment="1">
      <alignment horizontal="center"/>
    </xf>
    <xf numFmtId="0" fontId="10" fillId="6" borderId="8" xfId="0" applyFont="1" applyFill="1" applyBorder="1" applyAlignment="1">
      <alignment wrapText="1"/>
    </xf>
    <xf numFmtId="0" fontId="10" fillId="6" borderId="0" xfId="0" applyFont="1" applyFill="1" applyBorder="1" applyAlignment="1">
      <alignment wrapText="1"/>
    </xf>
    <xf numFmtId="0" fontId="10" fillId="6" borderId="0" xfId="0" applyFont="1" applyFill="1" applyBorder="1" applyAlignment="1"/>
    <xf numFmtId="0" fontId="2" fillId="6" borderId="0" xfId="0" applyFont="1" applyFill="1" applyBorder="1" applyAlignment="1">
      <alignment horizontal="right"/>
    </xf>
    <xf numFmtId="166" fontId="3" fillId="6" borderId="1" xfId="0" applyNumberFormat="1" applyFont="1" applyFill="1" applyBorder="1" applyAlignment="1">
      <alignment horizontal="center"/>
    </xf>
    <xf numFmtId="2" fontId="3" fillId="6" borderId="1" xfId="0" applyNumberFormat="1" applyFont="1" applyFill="1" applyBorder="1" applyAlignment="1">
      <alignment horizontal="center"/>
    </xf>
    <xf numFmtId="0" fontId="0" fillId="6" borderId="49" xfId="0" applyFill="1" applyBorder="1"/>
    <xf numFmtId="0" fontId="0" fillId="6" borderId="50" xfId="0" applyFill="1" applyBorder="1"/>
    <xf numFmtId="0" fontId="2" fillId="6" borderId="8" xfId="0" applyFont="1" applyFill="1" applyBorder="1"/>
    <xf numFmtId="0" fontId="0" fillId="6" borderId="27" xfId="0" applyFill="1" applyBorder="1" applyAlignment="1">
      <alignment horizontal="center" vertical="center"/>
    </xf>
    <xf numFmtId="0" fontId="0" fillId="6" borderId="48" xfId="0" applyFill="1" applyBorder="1" applyAlignment="1">
      <alignment horizontal="left"/>
    </xf>
    <xf numFmtId="0" fontId="0" fillId="6" borderId="27" xfId="0" applyFill="1" applyBorder="1" applyAlignment="1">
      <alignment horizontal="center" vertical="center" wrapText="1"/>
    </xf>
    <xf numFmtId="0" fontId="0" fillId="6" borderId="51" xfId="0" applyFill="1" applyBorder="1" applyAlignment="1">
      <alignment horizontal="left"/>
    </xf>
    <xf numFmtId="0" fontId="10" fillId="6" borderId="48" xfId="0" applyFont="1" applyFill="1" applyBorder="1" applyAlignment="1">
      <alignment wrapText="1"/>
    </xf>
    <xf numFmtId="0" fontId="0" fillId="6" borderId="51" xfId="0" applyFill="1" applyBorder="1"/>
    <xf numFmtId="0" fontId="0" fillId="6" borderId="0" xfId="0" applyFill="1" applyAlignment="1">
      <alignment horizontal="left"/>
    </xf>
    <xf numFmtId="0" fontId="3" fillId="4" borderId="6" xfId="0" applyFont="1" applyFill="1" applyBorder="1" applyAlignment="1">
      <alignment horizontal="left" vertical="center"/>
    </xf>
    <xf numFmtId="0" fontId="0" fillId="6" borderId="0" xfId="0" applyFill="1" applyProtection="1"/>
    <xf numFmtId="0" fontId="0" fillId="6" borderId="0" xfId="0" applyFill="1" applyBorder="1" applyProtection="1"/>
    <xf numFmtId="0" fontId="0" fillId="6" borderId="21" xfId="0" applyFill="1" applyBorder="1" applyProtection="1"/>
    <xf numFmtId="0" fontId="0" fillId="6" borderId="20" xfId="0" applyFill="1" applyBorder="1" applyAlignment="1" applyProtection="1">
      <alignment horizontal="center"/>
    </xf>
    <xf numFmtId="0" fontId="0" fillId="6" borderId="0" xfId="0" applyFill="1" applyBorder="1" applyAlignment="1" applyProtection="1">
      <alignment horizontal="center"/>
    </xf>
    <xf numFmtId="0" fontId="0" fillId="6" borderId="22" xfId="0" applyFill="1" applyBorder="1" applyAlignment="1" applyProtection="1">
      <alignment horizontal="center"/>
    </xf>
    <xf numFmtId="0" fontId="0" fillId="6" borderId="23" xfId="0" applyFill="1" applyBorder="1" applyProtection="1"/>
    <xf numFmtId="0" fontId="0" fillId="6" borderId="24" xfId="0" applyFill="1" applyBorder="1" applyProtection="1"/>
    <xf numFmtId="0" fontId="0" fillId="6" borderId="20" xfId="0" applyFill="1" applyBorder="1" applyProtection="1"/>
    <xf numFmtId="170" fontId="0" fillId="6" borderId="20" xfId="0" applyNumberFormat="1" applyFill="1" applyBorder="1" applyProtection="1"/>
    <xf numFmtId="169" fontId="0" fillId="6" borderId="0" xfId="0" applyNumberFormat="1" applyFill="1" applyBorder="1" applyProtection="1"/>
    <xf numFmtId="165" fontId="0" fillId="6" borderId="0" xfId="0" applyNumberFormat="1" applyFill="1" applyBorder="1" applyAlignment="1" applyProtection="1">
      <alignment horizontal="center"/>
    </xf>
    <xf numFmtId="166" fontId="0" fillId="6" borderId="0" xfId="0" applyNumberFormat="1" applyFill="1" applyBorder="1" applyAlignment="1" applyProtection="1">
      <alignment horizontal="center"/>
    </xf>
    <xf numFmtId="2" fontId="2" fillId="6" borderId="21" xfId="0" applyNumberFormat="1" applyFont="1" applyFill="1" applyBorder="1" applyProtection="1"/>
    <xf numFmtId="166" fontId="2" fillId="6" borderId="0" xfId="0" applyNumberFormat="1" applyFont="1" applyFill="1" applyBorder="1" applyAlignment="1" applyProtection="1">
      <alignment horizontal="center"/>
    </xf>
    <xf numFmtId="0" fontId="0" fillId="6" borderId="22" xfId="0" applyFill="1" applyBorder="1" applyProtection="1"/>
    <xf numFmtId="165" fontId="0" fillId="6" borderId="23" xfId="0" applyNumberFormat="1" applyFill="1" applyBorder="1" applyAlignment="1" applyProtection="1">
      <alignment horizontal="center"/>
    </xf>
    <xf numFmtId="165" fontId="2" fillId="6" borderId="23" xfId="0" applyNumberFormat="1" applyFont="1" applyFill="1" applyBorder="1" applyAlignment="1" applyProtection="1">
      <alignment horizontal="center"/>
    </xf>
    <xf numFmtId="2" fontId="2" fillId="6" borderId="24" xfId="0" applyNumberFormat="1" applyFont="1" applyFill="1" applyBorder="1" applyProtection="1"/>
    <xf numFmtId="0" fontId="2" fillId="6" borderId="0" xfId="0" applyFont="1" applyFill="1" applyBorder="1" applyAlignment="1">
      <alignment horizontal="left" vertical="center" wrapText="1"/>
    </xf>
    <xf numFmtId="0" fontId="0" fillId="6" borderId="8" xfId="0" applyFill="1" applyBorder="1"/>
    <xf numFmtId="0" fontId="2" fillId="6" borderId="48" xfId="0" applyFont="1" applyFill="1" applyBorder="1"/>
    <xf numFmtId="0" fontId="2" fillId="6" borderId="48" xfId="0" applyFont="1" applyFill="1" applyBorder="1" applyAlignment="1">
      <alignment horizontal="left" wrapText="1"/>
    </xf>
    <xf numFmtId="0" fontId="0" fillId="0" borderId="48" xfId="0" applyFill="1" applyBorder="1" applyAlignment="1">
      <alignment horizontal="left" vertical="center"/>
    </xf>
    <xf numFmtId="14" fontId="0" fillId="0" borderId="49" xfId="0" applyNumberFormat="1" applyBorder="1" applyAlignment="1">
      <alignment horizontal="left"/>
    </xf>
    <xf numFmtId="0" fontId="1" fillId="6" borderId="8" xfId="0" applyFont="1" applyFill="1" applyBorder="1" applyAlignment="1">
      <alignment horizontal="left"/>
    </xf>
    <xf numFmtId="0" fontId="1" fillId="6" borderId="8" xfId="0" applyFont="1" applyFill="1" applyBorder="1"/>
    <xf numFmtId="0" fontId="3" fillId="6" borderId="0" xfId="0" applyFont="1" applyFill="1" applyBorder="1"/>
    <xf numFmtId="0" fontId="15" fillId="6" borderId="8" xfId="0" applyFont="1" applyFill="1" applyBorder="1"/>
    <xf numFmtId="0" fontId="15" fillId="6" borderId="0" xfId="0" applyFont="1" applyFill="1" applyBorder="1"/>
    <xf numFmtId="0" fontId="0" fillId="6" borderId="54" xfId="0" applyFill="1" applyBorder="1" applyProtection="1"/>
    <xf numFmtId="0" fontId="0" fillId="6" borderId="32" xfId="0" applyFill="1" applyBorder="1" applyProtection="1"/>
    <xf numFmtId="0" fontId="2" fillId="6" borderId="8" xfId="0" applyFont="1" applyFill="1" applyBorder="1" applyAlignment="1">
      <alignment horizontal="left" vertical="center" wrapText="1"/>
    </xf>
    <xf numFmtId="0" fontId="2" fillId="6" borderId="48" xfId="0" applyFont="1" applyFill="1" applyBorder="1" applyAlignment="1">
      <alignment horizontal="left" vertical="center" wrapText="1"/>
    </xf>
    <xf numFmtId="0" fontId="3" fillId="6" borderId="18" xfId="0" applyFont="1" applyFill="1" applyBorder="1" applyAlignment="1" applyProtection="1"/>
    <xf numFmtId="0" fontId="3" fillId="0" borderId="50" xfId="0" applyFont="1" applyFill="1" applyBorder="1" applyAlignment="1">
      <alignment horizontal="left" vertical="center"/>
    </xf>
    <xf numFmtId="0" fontId="6" fillId="0" borderId="50" xfId="0" applyFont="1" applyFill="1" applyBorder="1" applyAlignment="1">
      <alignment horizontal="left" vertical="center"/>
    </xf>
    <xf numFmtId="0" fontId="0" fillId="0" borderId="50" xfId="0" applyFill="1" applyBorder="1" applyAlignment="1">
      <alignment horizontal="left" vertical="center"/>
    </xf>
    <xf numFmtId="0" fontId="0" fillId="0" borderId="51" xfId="0" applyFill="1" applyBorder="1" applyAlignment="1">
      <alignment horizontal="left" vertical="center"/>
    </xf>
    <xf numFmtId="0" fontId="3" fillId="6" borderId="54"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xf>
    <xf numFmtId="0" fontId="3" fillId="6" borderId="1" xfId="0" applyFont="1" applyFill="1" applyBorder="1" applyAlignment="1" applyProtection="1">
      <alignment horizontal="center" vertical="center" wrapText="1"/>
    </xf>
    <xf numFmtId="167" fontId="2" fillId="6" borderId="1" xfId="0" applyNumberFormat="1" applyFont="1" applyFill="1" applyBorder="1" applyAlignment="1" applyProtection="1">
      <alignment horizontal="center" vertical="center"/>
    </xf>
    <xf numFmtId="18" fontId="2" fillId="6" borderId="1" xfId="0" applyNumberFormat="1" applyFont="1" applyFill="1" applyBorder="1" applyAlignment="1" applyProtection="1">
      <alignment horizontal="center" vertical="center"/>
    </xf>
    <xf numFmtId="2" fontId="2" fillId="6" borderId="1" xfId="0" applyNumberFormat="1" applyFont="1" applyFill="1" applyBorder="1" applyAlignment="1" applyProtection="1">
      <alignment horizontal="center" vertical="center"/>
    </xf>
    <xf numFmtId="0" fontId="0" fillId="6" borderId="1" xfId="0" applyFill="1" applyBorder="1" applyAlignment="1" applyProtection="1">
      <alignment horizontal="center"/>
    </xf>
    <xf numFmtId="0" fontId="0" fillId="6" borderId="53" xfId="0" applyFill="1" applyBorder="1"/>
    <xf numFmtId="0" fontId="0" fillId="6" borderId="54" xfId="0" applyFill="1" applyBorder="1"/>
    <xf numFmtId="0" fontId="0" fillId="6" borderId="20" xfId="0" applyFill="1" applyBorder="1"/>
    <xf numFmtId="0" fontId="2" fillId="6" borderId="0" xfId="0" applyFont="1" applyFill="1" applyBorder="1" applyAlignment="1" applyProtection="1">
      <alignment horizontal="right"/>
    </xf>
    <xf numFmtId="0" fontId="17" fillId="6" borderId="0" xfId="0" applyFont="1" applyFill="1" applyBorder="1" applyProtection="1"/>
    <xf numFmtId="0" fontId="0" fillId="6" borderId="0" xfId="0" applyFill="1" applyBorder="1" applyAlignment="1" applyProtection="1">
      <alignment horizontal="center" vertical="center"/>
    </xf>
    <xf numFmtId="166" fontId="0" fillId="6" borderId="0" xfId="0" applyNumberFormat="1" applyFill="1" applyBorder="1" applyAlignment="1" applyProtection="1">
      <alignment horizontal="center" vertical="center"/>
    </xf>
    <xf numFmtId="2" fontId="2" fillId="6" borderId="21" xfId="0" applyNumberFormat="1" applyFont="1" applyFill="1" applyBorder="1" applyAlignment="1" applyProtection="1">
      <alignment horizontal="center" vertical="center"/>
    </xf>
    <xf numFmtId="0" fontId="2" fillId="6" borderId="21" xfId="0" applyFont="1" applyFill="1" applyBorder="1" applyAlignment="1" applyProtection="1">
      <alignment horizontal="left"/>
    </xf>
    <xf numFmtId="0" fontId="0" fillId="6" borderId="21" xfId="0" applyFill="1" applyBorder="1"/>
    <xf numFmtId="0" fontId="2" fillId="6" borderId="21" xfId="0" applyFont="1" applyFill="1" applyBorder="1" applyProtection="1"/>
    <xf numFmtId="171" fontId="0" fillId="6" borderId="1" xfId="1" applyNumberFormat="1" applyFont="1" applyFill="1" applyBorder="1" applyAlignment="1" applyProtection="1">
      <alignment horizontal="center"/>
    </xf>
    <xf numFmtId="171" fontId="2" fillId="6" borderId="1" xfId="1" applyNumberFormat="1" applyFont="1" applyFill="1" applyBorder="1" applyAlignment="1" applyProtection="1">
      <alignment horizontal="center" vertical="center"/>
    </xf>
    <xf numFmtId="2" fontId="0" fillId="6" borderId="0" xfId="0" applyNumberFormat="1" applyFill="1" applyBorder="1" applyAlignment="1" applyProtection="1">
      <alignment horizontal="center"/>
    </xf>
    <xf numFmtId="2" fontId="0" fillId="6" borderId="0" xfId="0" applyNumberFormat="1" applyFill="1" applyBorder="1" applyAlignment="1" applyProtection="1">
      <alignment horizontal="center" vertical="center"/>
    </xf>
    <xf numFmtId="165" fontId="2" fillId="6" borderId="0" xfId="0" applyNumberFormat="1" applyFont="1" applyFill="1" applyBorder="1" applyAlignment="1" applyProtection="1">
      <alignment horizontal="right"/>
    </xf>
    <xf numFmtId="171" fontId="0" fillId="6" borderId="1" xfId="1" applyNumberFormat="1" applyFont="1" applyFill="1" applyBorder="1" applyAlignment="1" applyProtection="1">
      <alignment horizontal="center" vertical="center"/>
    </xf>
    <xf numFmtId="0" fontId="0" fillId="6" borderId="0" xfId="0" applyFill="1" applyBorder="1" applyAlignment="1" applyProtection="1">
      <alignment wrapText="1"/>
    </xf>
    <xf numFmtId="0" fontId="23" fillId="6" borderId="0" xfId="0" applyFont="1" applyFill="1" applyBorder="1"/>
    <xf numFmtId="0" fontId="23" fillId="6" borderId="0" xfId="0" applyFont="1" applyFill="1" applyBorder="1" applyProtection="1"/>
    <xf numFmtId="0" fontId="3" fillId="6" borderId="0" xfId="0" applyFont="1" applyFill="1" applyBorder="1" applyAlignment="1" applyProtection="1">
      <alignment horizontal="right"/>
    </xf>
    <xf numFmtId="170" fontId="0" fillId="6" borderId="1" xfId="0" applyNumberFormat="1" applyFill="1" applyBorder="1" applyAlignment="1" applyProtection="1">
      <alignment horizontal="center" vertical="center"/>
    </xf>
    <xf numFmtId="169" fontId="0" fillId="6" borderId="1" xfId="0" applyNumberFormat="1" applyFill="1" applyBorder="1" applyAlignment="1" applyProtection="1">
      <alignment horizontal="center" vertical="center"/>
    </xf>
    <xf numFmtId="10" fontId="0" fillId="6" borderId="1" xfId="2" applyNumberFormat="1" applyFont="1" applyFill="1" applyBorder="1" applyAlignment="1" applyProtection="1">
      <alignment horizontal="center" vertical="center"/>
    </xf>
    <xf numFmtId="10" fontId="2" fillId="6" borderId="1" xfId="2" applyNumberFormat="1" applyFont="1" applyFill="1" applyBorder="1" applyAlignment="1" applyProtection="1">
      <alignment horizontal="center" vertical="center"/>
    </xf>
    <xf numFmtId="166" fontId="0" fillId="6" borderId="1" xfId="0" applyNumberFormat="1" applyFill="1" applyBorder="1" applyAlignment="1" applyProtection="1">
      <alignment horizontal="center" vertical="center"/>
    </xf>
    <xf numFmtId="166" fontId="2" fillId="6" borderId="1" xfId="0" applyNumberFormat="1" applyFont="1" applyFill="1" applyBorder="1" applyAlignment="1" applyProtection="1">
      <alignment horizontal="center" vertical="center"/>
    </xf>
    <xf numFmtId="170" fontId="0" fillId="6" borderId="20" xfId="0" applyNumberFormat="1" applyFill="1" applyBorder="1" applyAlignment="1" applyProtection="1">
      <alignment horizontal="center" vertical="center"/>
    </xf>
    <xf numFmtId="169" fontId="0" fillId="6" borderId="0" xfId="0" applyNumberFormat="1" applyFill="1" applyBorder="1" applyAlignment="1" applyProtection="1">
      <alignment horizontal="center" vertical="center"/>
    </xf>
    <xf numFmtId="165" fontId="0" fillId="6" borderId="0" xfId="0" applyNumberFormat="1" applyFill="1" applyBorder="1" applyAlignment="1" applyProtection="1">
      <alignment horizontal="center" vertical="center"/>
    </xf>
    <xf numFmtId="166" fontId="2" fillId="6" borderId="0"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wrapText="1"/>
    </xf>
    <xf numFmtId="167" fontId="2" fillId="6" borderId="54" xfId="0" applyNumberFormat="1" applyFont="1" applyFill="1" applyBorder="1" applyAlignment="1" applyProtection="1">
      <alignment horizontal="center" vertical="center"/>
    </xf>
    <xf numFmtId="18" fontId="2" fillId="6" borderId="54" xfId="0" applyNumberFormat="1" applyFont="1" applyFill="1" applyBorder="1" applyAlignment="1" applyProtection="1">
      <alignment horizontal="center" vertical="center"/>
    </xf>
    <xf numFmtId="2" fontId="2" fillId="6" borderId="54" xfId="0" applyNumberFormat="1" applyFont="1" applyFill="1" applyBorder="1" applyAlignment="1" applyProtection="1">
      <alignment horizontal="center" vertical="center"/>
    </xf>
    <xf numFmtId="167" fontId="2" fillId="6" borderId="54" xfId="0" applyNumberFormat="1" applyFont="1" applyFill="1" applyBorder="1" applyProtection="1"/>
    <xf numFmtId="18" fontId="2" fillId="6" borderId="54" xfId="0" applyNumberFormat="1" applyFont="1" applyFill="1" applyBorder="1" applyProtection="1"/>
    <xf numFmtId="2" fontId="2" fillId="6" borderId="54" xfId="0" applyNumberFormat="1" applyFont="1" applyFill="1" applyBorder="1" applyProtection="1"/>
    <xf numFmtId="1" fontId="2" fillId="6" borderId="54" xfId="0" applyNumberFormat="1" applyFont="1" applyFill="1" applyBorder="1" applyAlignment="1" applyProtection="1">
      <alignment horizontal="center"/>
    </xf>
    <xf numFmtId="0" fontId="0" fillId="0" borderId="17" xfId="0" applyBorder="1" applyAlignment="1">
      <alignment horizontal="center" wrapText="1"/>
    </xf>
    <xf numFmtId="0" fontId="3" fillId="6" borderId="0" xfId="0" applyFont="1" applyFill="1" applyBorder="1" applyAlignment="1">
      <alignment horizontal="left" vertical="top" wrapText="1"/>
    </xf>
    <xf numFmtId="0" fontId="2" fillId="6" borderId="0" xfId="0" applyFont="1" applyFill="1" applyBorder="1" applyAlignment="1">
      <alignment horizontal="left" vertical="top" wrapText="1"/>
    </xf>
    <xf numFmtId="0" fontId="1" fillId="6" borderId="0" xfId="0" applyFont="1" applyFill="1" applyBorder="1" applyAlignment="1">
      <alignment horizontal="left"/>
    </xf>
    <xf numFmtId="0" fontId="1" fillId="6" borderId="0" xfId="0" applyFont="1" applyFill="1" applyBorder="1"/>
    <xf numFmtId="0" fontId="2" fillId="6" borderId="0" xfId="0" applyFont="1" applyFill="1" applyBorder="1" applyAlignment="1">
      <alignment horizontal="left"/>
    </xf>
    <xf numFmtId="0" fontId="3" fillId="6" borderId="48" xfId="0" applyFont="1" applyFill="1" applyBorder="1" applyAlignment="1">
      <alignment vertical="top" wrapText="1"/>
    </xf>
    <xf numFmtId="0" fontId="7" fillId="6" borderId="8" xfId="0" applyFont="1" applyFill="1" applyBorder="1" applyAlignment="1">
      <alignment horizontal="center"/>
    </xf>
    <xf numFmtId="0" fontId="7" fillId="6" borderId="0" xfId="0" applyFont="1" applyFill="1" applyBorder="1" applyAlignment="1">
      <alignment horizontal="center"/>
    </xf>
    <xf numFmtId="0" fontId="7" fillId="6" borderId="48" xfId="0" applyFont="1" applyFill="1" applyBorder="1" applyAlignment="1">
      <alignment horizontal="center"/>
    </xf>
    <xf numFmtId="0" fontId="0" fillId="0" borderId="47" xfId="0" applyBorder="1" applyAlignment="1">
      <alignment horizontal="left" vertical="top"/>
    </xf>
    <xf numFmtId="0" fontId="0" fillId="0" borderId="0" xfId="0" applyBorder="1" applyAlignment="1">
      <alignment horizontal="left" vertical="top"/>
    </xf>
    <xf numFmtId="0" fontId="0" fillId="0" borderId="48" xfId="0" applyBorder="1" applyAlignment="1">
      <alignment horizontal="left" vertical="top"/>
    </xf>
    <xf numFmtId="0" fontId="0" fillId="0" borderId="8" xfId="0" applyBorder="1" applyAlignment="1">
      <alignment horizontal="left" vertical="top"/>
    </xf>
    <xf numFmtId="0" fontId="2" fillId="0" borderId="0" xfId="0" applyFont="1" applyBorder="1" applyAlignment="1">
      <alignment horizontal="left" vertical="center"/>
    </xf>
    <xf numFmtId="0" fontId="6" fillId="0" borderId="0" xfId="0" applyFont="1" applyBorder="1" applyAlignment="1">
      <alignment horizontal="left" vertical="center"/>
    </xf>
    <xf numFmtId="0" fontId="0" fillId="0" borderId="0" xfId="0" applyAlignment="1">
      <alignment horizontal="left" vertical="center"/>
    </xf>
    <xf numFmtId="0" fontId="0" fillId="0" borderId="46" xfId="0" applyBorder="1" applyAlignment="1">
      <alignment horizontal="left" vertical="center"/>
    </xf>
    <xf numFmtId="0" fontId="0" fillId="0" borderId="0" xfId="0" applyBorder="1" applyAlignment="1">
      <alignment horizontal="left" vertical="center"/>
    </xf>
    <xf numFmtId="0" fontId="2" fillId="0" borderId="0" xfId="0" applyFont="1" applyFill="1" applyBorder="1" applyAlignment="1">
      <alignment horizontal="left" vertical="center"/>
    </xf>
    <xf numFmtId="14" fontId="0" fillId="0" borderId="8" xfId="0" applyNumberFormat="1" applyBorder="1" applyAlignment="1">
      <alignment horizontal="left" vertical="center"/>
    </xf>
    <xf numFmtId="0" fontId="0" fillId="7" borderId="7" xfId="0" applyFill="1" applyBorder="1" applyAlignment="1">
      <alignment horizontal="left"/>
    </xf>
    <xf numFmtId="0" fontId="0" fillId="7" borderId="7" xfId="0" applyFill="1" applyBorder="1" applyAlignment="1">
      <alignment horizontal="right"/>
    </xf>
    <xf numFmtId="0" fontId="0" fillId="7" borderId="7" xfId="0" applyFill="1" applyBorder="1" applyAlignment="1">
      <alignment horizontal="center"/>
    </xf>
    <xf numFmtId="0" fontId="0" fillId="7" borderId="52" xfId="0" applyFill="1" applyBorder="1" applyAlignment="1">
      <alignment horizontal="left"/>
    </xf>
    <xf numFmtId="0" fontId="3" fillId="7" borderId="6" xfId="0" applyFont="1" applyFill="1" applyBorder="1" applyAlignment="1">
      <alignment vertical="center"/>
    </xf>
    <xf numFmtId="0" fontId="3" fillId="0" borderId="46" xfId="0" applyFont="1" applyBorder="1" applyAlignment="1">
      <alignment horizontal="left"/>
    </xf>
    <xf numFmtId="0" fontId="2" fillId="0" borderId="0" xfId="0" applyFont="1" applyBorder="1" applyAlignment="1">
      <alignment horizontal="left" vertical="top" wrapText="1"/>
    </xf>
    <xf numFmtId="0" fontId="22"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0" xfId="0" applyFont="1" applyBorder="1" applyAlignment="1">
      <alignment horizontal="left" vertical="top"/>
    </xf>
    <xf numFmtId="0" fontId="1" fillId="0" borderId="8" xfId="0" applyFont="1" applyFill="1" applyBorder="1" applyAlignment="1">
      <alignment horizontal="left" vertical="center"/>
    </xf>
    <xf numFmtId="0" fontId="2" fillId="6" borderId="50" xfId="0" applyFont="1" applyFill="1" applyBorder="1" applyAlignment="1">
      <alignment horizontal="left" wrapText="1"/>
    </xf>
    <xf numFmtId="0" fontId="0" fillId="6" borderId="8" xfId="0" applyFill="1" applyBorder="1" applyAlignment="1">
      <alignment horizontal="center" vertical="center" wrapText="1"/>
    </xf>
    <xf numFmtId="0" fontId="2" fillId="6" borderId="51" xfId="0" applyFont="1" applyFill="1" applyBorder="1" applyAlignment="1">
      <alignment wrapText="1"/>
    </xf>
    <xf numFmtId="14" fontId="2" fillId="0" borderId="8" xfId="0" applyNumberFormat="1" applyFont="1" applyBorder="1" applyAlignment="1">
      <alignment horizontal="left" wrapText="1"/>
    </xf>
    <xf numFmtId="14" fontId="2" fillId="0" borderId="0" xfId="0" applyNumberFormat="1" applyFont="1" applyBorder="1" applyAlignment="1">
      <alignment horizontal="left" wrapText="1"/>
    </xf>
    <xf numFmtId="14" fontId="2" fillId="0" borderId="48" xfId="0" applyNumberFormat="1" applyFont="1" applyBorder="1" applyAlignment="1">
      <alignment horizontal="left" wrapText="1"/>
    </xf>
    <xf numFmtId="0" fontId="2" fillId="0" borderId="34"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14" fontId="2" fillId="0" borderId="34" xfId="0" applyNumberFormat="1" applyFont="1" applyBorder="1" applyAlignment="1">
      <alignment horizontal="left" vertical="center"/>
    </xf>
    <xf numFmtId="14" fontId="2" fillId="0" borderId="46" xfId="0" applyNumberFormat="1" applyFont="1" applyBorder="1" applyAlignment="1">
      <alignment horizontal="left" vertical="center"/>
    </xf>
    <xf numFmtId="14" fontId="2" fillId="0" borderId="8" xfId="0" applyNumberFormat="1" applyFont="1" applyBorder="1" applyAlignment="1">
      <alignment horizontal="left" vertical="center"/>
    </xf>
    <xf numFmtId="14" fontId="2" fillId="0" borderId="0" xfId="0" applyNumberFormat="1" applyFont="1" applyBorder="1" applyAlignment="1">
      <alignment horizontal="left" vertical="center"/>
    </xf>
    <xf numFmtId="14" fontId="0" fillId="0" borderId="8" xfId="0" applyNumberFormat="1" applyBorder="1" applyAlignment="1">
      <alignment horizontal="left" vertical="center"/>
    </xf>
    <xf numFmtId="14" fontId="0" fillId="0" borderId="0" xfId="0" applyNumberFormat="1" applyBorder="1" applyAlignment="1">
      <alignment horizontal="left" vertical="center"/>
    </xf>
    <xf numFmtId="14" fontId="0" fillId="0" borderId="8" xfId="0" applyNumberFormat="1" applyBorder="1" applyAlignment="1">
      <alignment horizontal="left" vertical="top"/>
    </xf>
    <xf numFmtId="14" fontId="0" fillId="0" borderId="0" xfId="0" applyNumberFormat="1" applyBorder="1" applyAlignment="1">
      <alignment horizontal="left" vertical="top"/>
    </xf>
    <xf numFmtId="14" fontId="1" fillId="0" borderId="49" xfId="0" applyNumberFormat="1" applyFont="1" applyBorder="1" applyAlignment="1">
      <alignment horizontal="left" vertical="top"/>
    </xf>
    <xf numFmtId="14" fontId="1" fillId="0" borderId="50" xfId="0" applyNumberFormat="1" applyFont="1" applyBorder="1" applyAlignment="1">
      <alignment horizontal="left" vertical="top"/>
    </xf>
    <xf numFmtId="14" fontId="1" fillId="0" borderId="8" xfId="0" applyNumberFormat="1" applyFont="1" applyBorder="1" applyAlignment="1">
      <alignment horizontal="left" vertical="top"/>
    </xf>
    <xf numFmtId="14" fontId="1" fillId="0" borderId="0" xfId="0" applyNumberFormat="1" applyFont="1" applyBorder="1" applyAlignment="1">
      <alignment horizontal="left" vertical="top"/>
    </xf>
    <xf numFmtId="0" fontId="2" fillId="0" borderId="0" xfId="0" applyFont="1" applyBorder="1" applyAlignment="1">
      <alignment horizontal="left" vertical="top" wrapText="1"/>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52" xfId="0" applyFont="1" applyFill="1" applyBorder="1" applyAlignment="1">
      <alignment horizontal="center" vertical="center"/>
    </xf>
    <xf numFmtId="0" fontId="0" fillId="4" borderId="7" xfId="0" applyFill="1" applyBorder="1" applyAlignment="1">
      <alignment horizontal="right" vertical="center"/>
    </xf>
    <xf numFmtId="0" fontId="0" fillId="4" borderId="52" xfId="0" applyFill="1" applyBorder="1" applyAlignment="1">
      <alignment horizontal="right" vertical="center"/>
    </xf>
    <xf numFmtId="0" fontId="2" fillId="0" borderId="0" xfId="0" applyFont="1" applyFill="1" applyBorder="1" applyAlignment="1">
      <alignment horizontal="left" vertical="center" wrapText="1"/>
    </xf>
    <xf numFmtId="0" fontId="0" fillId="0" borderId="0" xfId="0" applyAlignment="1">
      <alignment horizontal="left" vertical="center" wrapText="1"/>
    </xf>
    <xf numFmtId="0" fontId="2" fillId="6" borderId="49" xfId="0" applyFont="1" applyFill="1" applyBorder="1" applyAlignment="1">
      <alignment horizontal="left" wrapText="1"/>
    </xf>
    <xf numFmtId="0" fontId="2" fillId="6" borderId="50" xfId="0" applyFont="1" applyFill="1" applyBorder="1" applyAlignment="1">
      <alignment horizontal="left" wrapText="1"/>
    </xf>
    <xf numFmtId="0" fontId="0" fillId="6" borderId="3" xfId="0" applyFill="1" applyBorder="1" applyAlignment="1">
      <alignment horizontal="right"/>
    </xf>
    <xf numFmtId="0" fontId="0" fillId="6" borderId="10" xfId="0" applyFill="1" applyBorder="1" applyAlignment="1">
      <alignment horizontal="right"/>
    </xf>
    <xf numFmtId="0" fontId="7" fillId="4" borderId="6" xfId="0" applyFont="1" applyFill="1" applyBorder="1" applyAlignment="1">
      <alignment horizontal="center"/>
    </xf>
    <xf numFmtId="0" fontId="7" fillId="4" borderId="7" xfId="0" applyFont="1" applyFill="1" applyBorder="1" applyAlignment="1">
      <alignment horizontal="center"/>
    </xf>
    <xf numFmtId="0" fontId="7" fillId="4" borderId="52" xfId="0" applyFont="1" applyFill="1" applyBorder="1" applyAlignment="1">
      <alignment horizontal="center"/>
    </xf>
    <xf numFmtId="0" fontId="2" fillId="6" borderId="8" xfId="0" applyFont="1" applyFill="1" applyBorder="1" applyAlignment="1">
      <alignment horizontal="left" wrapText="1"/>
    </xf>
    <xf numFmtId="0" fontId="0" fillId="6" borderId="0" xfId="0" applyFill="1" applyBorder="1" applyAlignment="1">
      <alignment horizontal="left" wrapText="1"/>
    </xf>
    <xf numFmtId="0" fontId="0" fillId="6" borderId="48" xfId="0" applyFill="1" applyBorder="1" applyAlignment="1">
      <alignment horizontal="left" wrapText="1"/>
    </xf>
    <xf numFmtId="0" fontId="1" fillId="6" borderId="8" xfId="0" applyFont="1" applyFill="1" applyBorder="1" applyAlignment="1">
      <alignment horizontal="left" wrapText="1"/>
    </xf>
    <xf numFmtId="0" fontId="2" fillId="6" borderId="0" xfId="0" applyFont="1" applyFill="1" applyBorder="1" applyAlignment="1">
      <alignment horizontal="left" wrapText="1"/>
    </xf>
    <xf numFmtId="0" fontId="2" fillId="6" borderId="48" xfId="0" applyFont="1" applyFill="1" applyBorder="1" applyAlignment="1">
      <alignment horizontal="left" wrapText="1"/>
    </xf>
    <xf numFmtId="0" fontId="0" fillId="6" borderId="37" xfId="0" applyFill="1" applyBorder="1" applyAlignment="1">
      <alignment horizontal="right" vertical="center"/>
    </xf>
    <xf numFmtId="0" fontId="0" fillId="6" borderId="26" xfId="0" applyFill="1" applyBorder="1" applyAlignment="1">
      <alignment horizontal="right" vertical="center"/>
    </xf>
    <xf numFmtId="0" fontId="0" fillId="6" borderId="37" xfId="0" applyFill="1" applyBorder="1" applyAlignment="1">
      <alignment horizontal="right"/>
    </xf>
    <xf numFmtId="0" fontId="0" fillId="6" borderId="26" xfId="0" applyFill="1" applyBorder="1" applyAlignment="1">
      <alignment horizontal="right"/>
    </xf>
    <xf numFmtId="0" fontId="1" fillId="6" borderId="0" xfId="0" applyFont="1" applyFill="1" applyBorder="1" applyAlignment="1">
      <alignment horizontal="right" wrapText="1"/>
    </xf>
    <xf numFmtId="0" fontId="0" fillId="6" borderId="0" xfId="0" applyFill="1" applyBorder="1" applyAlignment="1">
      <alignment horizontal="right" wrapText="1"/>
    </xf>
    <xf numFmtId="0" fontId="0" fillId="6" borderId="21" xfId="0" applyFill="1" applyBorder="1" applyAlignment="1">
      <alignment horizontal="right" wrapText="1"/>
    </xf>
    <xf numFmtId="0" fontId="2" fillId="6" borderId="27"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26" xfId="0" applyFont="1" applyFill="1" applyBorder="1" applyAlignment="1">
      <alignment horizontal="center" vertical="center"/>
    </xf>
    <xf numFmtId="0" fontId="1" fillId="6" borderId="27" xfId="0" applyFont="1" applyFill="1" applyBorder="1" applyAlignment="1">
      <alignment horizontal="center" wrapText="1"/>
    </xf>
    <xf numFmtId="0" fontId="1" fillId="6" borderId="37" xfId="0" applyFont="1" applyFill="1" applyBorder="1" applyAlignment="1">
      <alignment horizontal="center" wrapText="1"/>
    </xf>
    <xf numFmtId="0" fontId="1" fillId="6" borderId="26" xfId="0" applyFont="1" applyFill="1" applyBorder="1" applyAlignment="1">
      <alignment horizontal="center" wrapText="1"/>
    </xf>
    <xf numFmtId="0" fontId="1" fillId="6" borderId="37" xfId="0" applyFont="1" applyFill="1" applyBorder="1" applyAlignment="1">
      <alignment horizontal="right"/>
    </xf>
    <xf numFmtId="0" fontId="1" fillId="6" borderId="0" xfId="0" applyFont="1" applyFill="1" applyBorder="1" applyAlignment="1">
      <alignment horizontal="right"/>
    </xf>
    <xf numFmtId="0" fontId="0" fillId="6" borderId="0" xfId="0" applyFill="1" applyBorder="1" applyAlignment="1">
      <alignment horizontal="right"/>
    </xf>
    <xf numFmtId="0" fontId="0" fillId="6" borderId="21" xfId="0" applyFill="1" applyBorder="1" applyAlignment="1">
      <alignment horizontal="right"/>
    </xf>
    <xf numFmtId="0" fontId="20" fillId="0" borderId="20" xfId="0" applyFont="1" applyBorder="1" applyAlignment="1">
      <alignment horizontal="left" wrapText="1"/>
    </xf>
    <xf numFmtId="0" fontId="20" fillId="0" borderId="0" xfId="0" applyFont="1" applyBorder="1" applyAlignment="1">
      <alignment horizontal="left" wrapText="1"/>
    </xf>
    <xf numFmtId="0" fontId="2" fillId="0" borderId="0" xfId="0" applyFont="1" applyBorder="1" applyAlignment="1">
      <alignment horizontal="left" wrapText="1"/>
    </xf>
    <xf numFmtId="0" fontId="2" fillId="0" borderId="50" xfId="0" applyFont="1" applyBorder="1" applyAlignment="1">
      <alignment horizontal="left" wrapText="1"/>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52" xfId="0" applyFont="1" applyFill="1" applyBorder="1" applyAlignment="1">
      <alignment horizontal="center"/>
    </xf>
    <xf numFmtId="2" fontId="10" fillId="0" borderId="46" xfId="0" applyNumberFormat="1" applyFont="1" applyBorder="1" applyAlignment="1">
      <alignment horizontal="left" wrapText="1"/>
    </xf>
    <xf numFmtId="2" fontId="10" fillId="0" borderId="0" xfId="0" applyNumberFormat="1" applyFont="1" applyBorder="1" applyAlignment="1">
      <alignment horizontal="left" wrapText="1"/>
    </xf>
    <xf numFmtId="0" fontId="8" fillId="0" borderId="54" xfId="0" applyFont="1" applyBorder="1" applyAlignment="1">
      <alignment horizontal="center" wrapText="1"/>
    </xf>
    <xf numFmtId="0" fontId="8" fillId="0" borderId="0" xfId="0" applyFont="1" applyBorder="1" applyAlignment="1">
      <alignment horizontal="center" wrapText="1"/>
    </xf>
    <xf numFmtId="0" fontId="3" fillId="0" borderId="27" xfId="0" applyFont="1" applyBorder="1" applyAlignment="1">
      <alignment horizontal="left" wrapText="1"/>
    </xf>
    <xf numFmtId="0" fontId="3" fillId="0" borderId="26" xfId="0" applyFont="1" applyBorder="1" applyAlignment="1">
      <alignment horizontal="left" wrapText="1"/>
    </xf>
    <xf numFmtId="0" fontId="3" fillId="0" borderId="29" xfId="0" applyFont="1" applyBorder="1" applyAlignment="1">
      <alignment horizontal="left" wrapText="1"/>
    </xf>
    <xf numFmtId="0" fontId="3" fillId="0" borderId="28" xfId="0" applyFont="1" applyBorder="1" applyAlignment="1">
      <alignment horizontal="left" wrapText="1"/>
    </xf>
    <xf numFmtId="0" fontId="10" fillId="0" borderId="46" xfId="0" applyFont="1" applyBorder="1" applyAlignment="1">
      <alignment horizontal="left" wrapText="1"/>
    </xf>
    <xf numFmtId="0" fontId="10" fillId="0" borderId="0" xfId="0" applyFont="1" applyBorder="1" applyAlignment="1">
      <alignment horizontal="left" wrapText="1"/>
    </xf>
    <xf numFmtId="0" fontId="3" fillId="0" borderId="37" xfId="0" applyFont="1" applyBorder="1" applyAlignment="1">
      <alignment horizontal="left" wrapText="1"/>
    </xf>
    <xf numFmtId="0" fontId="0" fillId="0" borderId="56" xfId="0" applyBorder="1" applyAlignment="1">
      <alignment horizontal="center"/>
    </xf>
    <xf numFmtId="0" fontId="0" fillId="0" borderId="57" xfId="0" applyBorder="1" applyAlignment="1">
      <alignment horizontal="center"/>
    </xf>
    <xf numFmtId="0" fontId="0" fillId="0" borderId="25" xfId="0" applyBorder="1" applyAlignment="1">
      <alignment horizontal="center"/>
    </xf>
    <xf numFmtId="0" fontId="0" fillId="0" borderId="9" xfId="0" applyBorder="1" applyAlignment="1">
      <alignment horizontal="center" wrapText="1"/>
    </xf>
    <xf numFmtId="0" fontId="0" fillId="0" borderId="17" xfId="0" applyBorder="1" applyAlignment="1">
      <alignment horizontal="center" wrapText="1"/>
    </xf>
    <xf numFmtId="0" fontId="3" fillId="0" borderId="50" xfId="0" applyFont="1" applyBorder="1" applyAlignment="1">
      <alignment horizontal="center"/>
    </xf>
    <xf numFmtId="0" fontId="3" fillId="4" borderId="55" xfId="0" applyFont="1" applyFill="1" applyBorder="1" applyAlignment="1" applyProtection="1">
      <alignment horizontal="center" wrapText="1"/>
    </xf>
    <xf numFmtId="0" fontId="3" fillId="4" borderId="37" xfId="0" applyFont="1" applyFill="1" applyBorder="1" applyAlignment="1" applyProtection="1">
      <alignment horizontal="center" wrapText="1"/>
    </xf>
    <xf numFmtId="0" fontId="3" fillId="4" borderId="26" xfId="0" applyFont="1" applyFill="1" applyBorder="1" applyAlignment="1" applyProtection="1">
      <alignment horizontal="center" wrapText="1"/>
    </xf>
    <xf numFmtId="170" fontId="3" fillId="7" borderId="55" xfId="0" applyNumberFormat="1" applyFont="1" applyFill="1" applyBorder="1" applyAlignment="1" applyProtection="1">
      <alignment horizontal="center"/>
    </xf>
    <xf numFmtId="170" fontId="3" fillId="7" borderId="37" xfId="0" applyNumberFormat="1" applyFont="1" applyFill="1" applyBorder="1" applyAlignment="1" applyProtection="1">
      <alignment horizontal="center"/>
    </xf>
    <xf numFmtId="170" fontId="3" fillId="7" borderId="26" xfId="0" applyNumberFormat="1" applyFont="1" applyFill="1" applyBorder="1" applyAlignment="1" applyProtection="1">
      <alignment horizontal="center"/>
    </xf>
    <xf numFmtId="0" fontId="2" fillId="6" borderId="8"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6" borderId="48" xfId="0" applyFont="1" applyFill="1" applyBorder="1" applyAlignment="1">
      <alignment horizontal="left" vertical="center" wrapText="1"/>
    </xf>
    <xf numFmtId="171" fontId="0" fillId="6" borderId="0" xfId="1" applyNumberFormat="1" applyFont="1" applyFill="1" applyBorder="1" applyAlignment="1" applyProtection="1">
      <alignment horizontal="right" vertical="center"/>
    </xf>
    <xf numFmtId="166" fontId="0" fillId="6" borderId="0" xfId="0" applyNumberFormat="1" applyFill="1" applyBorder="1" applyAlignment="1" applyProtection="1">
      <alignment horizontal="right" vertical="center"/>
    </xf>
    <xf numFmtId="0" fontId="2" fillId="6" borderId="34" xfId="0" applyFont="1" applyFill="1" applyBorder="1" applyAlignment="1">
      <alignment horizontal="left" vertical="center" wrapText="1"/>
    </xf>
    <xf numFmtId="0" fontId="2" fillId="6" borderId="46" xfId="0" applyFont="1" applyFill="1" applyBorder="1" applyAlignment="1">
      <alignment horizontal="left" vertical="center" wrapText="1"/>
    </xf>
    <xf numFmtId="0" fontId="2" fillId="6" borderId="47" xfId="0" applyFont="1" applyFill="1" applyBorder="1" applyAlignment="1">
      <alignment horizontal="left" vertical="center" wrapText="1"/>
    </xf>
    <xf numFmtId="0" fontId="3" fillId="6" borderId="0" xfId="0" applyFont="1" applyFill="1" applyBorder="1" applyAlignment="1" applyProtection="1">
      <alignment horizontal="center" vertical="center"/>
    </xf>
    <xf numFmtId="0" fontId="2"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3" fillId="6" borderId="0" xfId="0" applyFont="1" applyFill="1" applyBorder="1" applyAlignment="1">
      <alignment horizontal="left" vertical="top" wrapText="1"/>
    </xf>
    <xf numFmtId="0" fontId="3" fillId="4" borderId="55" xfId="0" applyFont="1" applyFill="1" applyBorder="1" applyAlignment="1" applyProtection="1">
      <alignment horizontal="center"/>
    </xf>
    <xf numFmtId="0" fontId="3" fillId="4" borderId="37" xfId="0" applyFont="1" applyFill="1" applyBorder="1" applyAlignment="1" applyProtection="1">
      <alignment horizontal="center"/>
    </xf>
    <xf numFmtId="0" fontId="3" fillId="4" borderId="26" xfId="0" applyFont="1" applyFill="1" applyBorder="1" applyAlignment="1" applyProtection="1">
      <alignment horizontal="center"/>
    </xf>
    <xf numFmtId="0" fontId="16" fillId="6" borderId="23" xfId="0" applyFont="1" applyFill="1" applyBorder="1" applyAlignment="1" applyProtection="1">
      <alignment horizontal="center"/>
    </xf>
    <xf numFmtId="0" fontId="7" fillId="7" borderId="6" xfId="0" applyFont="1" applyFill="1" applyBorder="1" applyAlignment="1">
      <alignment horizontal="center"/>
    </xf>
    <xf numFmtId="0" fontId="7" fillId="7" borderId="7" xfId="0" applyFont="1" applyFill="1" applyBorder="1" applyAlignment="1">
      <alignment horizontal="center"/>
    </xf>
    <xf numFmtId="0" fontId="7" fillId="7" borderId="52" xfId="0" applyFont="1" applyFill="1" applyBorder="1" applyAlignment="1">
      <alignment horizontal="center"/>
    </xf>
    <xf numFmtId="0" fontId="3" fillId="4" borderId="55"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3" fillId="4" borderId="26" xfId="0" applyFont="1" applyFill="1" applyBorder="1" applyAlignment="1" applyProtection="1">
      <alignment horizontal="center" vertical="center"/>
    </xf>
    <xf numFmtId="0" fontId="16" fillId="6" borderId="22" xfId="0" applyFont="1" applyFill="1" applyBorder="1" applyAlignment="1" applyProtection="1">
      <alignment horizontal="center"/>
    </xf>
    <xf numFmtId="0" fontId="16" fillId="6" borderId="24" xfId="0" applyFont="1" applyFill="1" applyBorder="1" applyAlignment="1" applyProtection="1">
      <alignment horizontal="center"/>
    </xf>
    <xf numFmtId="0" fontId="27" fillId="6" borderId="0" xfId="0" applyFont="1" applyFill="1" applyBorder="1" applyAlignment="1">
      <alignment horizontal="left" vertical="top" wrapText="1"/>
    </xf>
  </cellXfs>
  <cellStyles count="3">
    <cellStyle name="Comma" xfId="1" builtinId="3"/>
    <cellStyle name="Normal" xfId="0" builtinId="0"/>
    <cellStyle name="Percent" xfId="2" builtinId="5"/>
  </cellStyles>
  <dxfs count="84">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Example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numRef>
              <c:f>Example!$H$18:$H$47</c:f>
              <c:numCache>
                <c:formatCode>0.00</c:formatCode>
                <c:ptCount val="30"/>
                <c:pt idx="0" formatCode="0.0">
                  <c:v>0</c:v>
                </c:pt>
                <c:pt idx="1">
                  <c:v>0.20972222222189885</c:v>
                </c:pt>
                <c:pt idx="2">
                  <c:v>0.41875000000436557</c:v>
                </c:pt>
                <c:pt idx="3">
                  <c:v>0.66944444444379769</c:v>
                </c:pt>
                <c:pt idx="4">
                  <c:v>0.96250000000145519</c:v>
                </c:pt>
                <c:pt idx="5">
                  <c:v>1.171527777776646</c:v>
                </c:pt>
                <c:pt idx="6">
                  <c:v>1.4229166666700621</c:v>
                </c:pt>
                <c:pt idx="7">
                  <c:v>1.6319444444452529</c:v>
                </c:pt>
                <c:pt idx="8">
                  <c:v>2.0083333333313931</c:v>
                </c:pt>
                <c:pt idx="9">
                  <c:v>2.2180555555532919</c:v>
                </c:pt>
                <c:pt idx="10">
                  <c:v>2.46875</c:v>
                </c:pt>
                <c:pt idx="11">
                  <c:v>2.6777777777824667</c:v>
                </c:pt>
                <c:pt idx="12">
                  <c:v>3.054861111115315</c:v>
                </c:pt>
                <c:pt idx="13">
                  <c:v>3.2222222222262644</c:v>
                </c:pt>
                <c:pt idx="14">
                  <c:v>3.4312500000014552</c:v>
                </c:pt>
                <c:pt idx="15">
                  <c:v>3.6819444444481633</c:v>
                </c:pt>
                <c:pt idx="16">
                  <c:v>4.0166666666700621</c:v>
                </c:pt>
                <c:pt idx="17">
                  <c:v>4.226388888891961</c:v>
                </c:pt>
                <c:pt idx="18">
                  <c:v>4.4770833333313931</c:v>
                </c:pt>
                <c:pt idx="19" formatCode="0.0">
                  <c:v>4.6868055555532919</c:v>
                </c:pt>
                <c:pt idx="20" formatCode="0.0">
                  <c:v>4.9791666666642413</c:v>
                </c:pt>
                <c:pt idx="21" formatCode="0.0">
                  <c:v>5.2722222222218988</c:v>
                </c:pt>
                <c:pt idx="22" formatCode="0.0">
                  <c:v>5.5229166666686069</c:v>
                </c:pt>
                <c:pt idx="23" formatCode="0.0">
                  <c:v>5.7319444444437977</c:v>
                </c:pt>
                <c:pt idx="24" formatCode="0.0">
                  <c:v>5.9416666666656965</c:v>
                </c:pt>
                <c:pt idx="25" formatCode="0.0">
                  <c:v>6.1923611111124046</c:v>
                </c:pt>
                <c:pt idx="26" formatCode="0.0">
                  <c:v>6.4437499999985448</c:v>
                </c:pt>
                <c:pt idx="27" formatCode="0.0">
                  <c:v>6.6944444444452529</c:v>
                </c:pt>
                <c:pt idx="28" formatCode="0.0">
                  <c:v>6.9875000000029104</c:v>
                </c:pt>
                <c:pt idx="29" formatCode="0.0">
                  <c:v>7.1965277777781012</c:v>
                </c:pt>
              </c:numCache>
            </c:numRef>
          </c:xVal>
          <c:yVal>
            <c:numRef>
              <c:f>Example!$I$18:$I$47</c:f>
              <c:numCache>
                <c:formatCode>0.0</c:formatCode>
                <c:ptCount val="30"/>
                <c:pt idx="0">
                  <c:v>19</c:v>
                </c:pt>
                <c:pt idx="1">
                  <c:v>16.899999999999999</c:v>
                </c:pt>
                <c:pt idx="2">
                  <c:v>18.399999999999999</c:v>
                </c:pt>
                <c:pt idx="3">
                  <c:v>16.600000000000001</c:v>
                </c:pt>
                <c:pt idx="4">
                  <c:v>18.899999999999999</c:v>
                </c:pt>
                <c:pt idx="5">
                  <c:v>16.899999999999999</c:v>
                </c:pt>
                <c:pt idx="6">
                  <c:v>18.7</c:v>
                </c:pt>
                <c:pt idx="7">
                  <c:v>16.899999999999999</c:v>
                </c:pt>
                <c:pt idx="8">
                  <c:v>19.5</c:v>
                </c:pt>
                <c:pt idx="9">
                  <c:v>17.399999999999999</c:v>
                </c:pt>
                <c:pt idx="10">
                  <c:v>18.8</c:v>
                </c:pt>
                <c:pt idx="11">
                  <c:v>17</c:v>
                </c:pt>
                <c:pt idx="12">
                  <c:v>19.2</c:v>
                </c:pt>
                <c:pt idx="13">
                  <c:v>17.600000000000001</c:v>
                </c:pt>
                <c:pt idx="14">
                  <c:v>18.8</c:v>
                </c:pt>
                <c:pt idx="15">
                  <c:v>16.8</c:v>
                </c:pt>
                <c:pt idx="16">
                  <c:v>18.8</c:v>
                </c:pt>
                <c:pt idx="17">
                  <c:v>16.8</c:v>
                </c:pt>
                <c:pt idx="18">
                  <c:v>18.2</c:v>
                </c:pt>
                <c:pt idx="19">
                  <c:v>16.399999999999999</c:v>
                </c:pt>
                <c:pt idx="20">
                  <c:v>18.8</c:v>
                </c:pt>
                <c:pt idx="21">
                  <c:v>16.399999999999999</c:v>
                </c:pt>
                <c:pt idx="22">
                  <c:v>18.100000000000001</c:v>
                </c:pt>
                <c:pt idx="23">
                  <c:v>16.399999999999999</c:v>
                </c:pt>
                <c:pt idx="24">
                  <c:v>18.5</c:v>
                </c:pt>
                <c:pt idx="25">
                  <c:v>16.5</c:v>
                </c:pt>
                <c:pt idx="26">
                  <c:v>18.100000000000001</c:v>
                </c:pt>
                <c:pt idx="27">
                  <c:v>16.399999999999999</c:v>
                </c:pt>
                <c:pt idx="28">
                  <c:v>18.8</c:v>
                </c:pt>
                <c:pt idx="29">
                  <c:v>16.8</c:v>
                </c:pt>
              </c:numCache>
            </c:numRef>
          </c:yVal>
          <c:smooth val="0"/>
          <c:extLst>
            <c:ext xmlns:c16="http://schemas.microsoft.com/office/drawing/2014/chart" uri="{C3380CC4-5D6E-409C-BE32-E72D297353CC}">
              <c16:uniqueId val="{00000000-DB5B-4F18-AC94-FF8D738E0F7C}"/>
            </c:ext>
          </c:extLst>
        </c:ser>
        <c:dLbls>
          <c:showLegendKey val="0"/>
          <c:showVal val="0"/>
          <c:showCatName val="0"/>
          <c:showSerName val="0"/>
          <c:showPercent val="0"/>
          <c:showBubbleSize val="0"/>
        </c:dLbls>
        <c:axId val="334794320"/>
        <c:axId val="334796672"/>
      </c:scatterChart>
      <c:valAx>
        <c:axId val="3347943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796672"/>
        <c:crosses val="autoZero"/>
        <c:crossBetween val="midCat"/>
      </c:valAx>
      <c:valAx>
        <c:axId val="334796672"/>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79432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#9 Graph</a:t>
            </a:r>
          </a:p>
        </c:rich>
      </c:tx>
      <c:layout>
        <c:manualLayout>
          <c:xMode val="edge"/>
          <c:yMode val="edge"/>
          <c:x val="0.38874734008632511"/>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'Tank#9'!$H$18:$H$47</c:f>
              <c:strCache>
                <c:ptCount val="1"/>
                <c:pt idx="0">
                  <c:v>0.0</c:v>
                </c:pt>
              </c:strCache>
            </c:strRef>
          </c:xVal>
          <c:yVal>
            <c:numRef>
              <c:f>'Tank#9'!$I$18:$I$47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0671-407D-8DE9-920C56AF7C5B}"/>
            </c:ext>
          </c:extLst>
        </c:ser>
        <c:dLbls>
          <c:showLegendKey val="0"/>
          <c:showVal val="0"/>
          <c:showCatName val="0"/>
          <c:showSerName val="0"/>
          <c:showPercent val="0"/>
          <c:showBubbleSize val="0"/>
        </c:dLbls>
        <c:axId val="333243512"/>
        <c:axId val="333245472"/>
      </c:scatterChart>
      <c:valAx>
        <c:axId val="3332435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245472"/>
        <c:crosses val="autoZero"/>
        <c:crossBetween val="midCat"/>
      </c:valAx>
      <c:valAx>
        <c:axId val="333245472"/>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24351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96932626966571"/>
          <c:y val="4.2787278599644707E-2"/>
          <c:w val="0.78989015960200282"/>
          <c:h val="0.86901739612877626"/>
        </c:manualLayout>
      </c:layout>
      <c:scatterChart>
        <c:scatterStyle val="lineMarker"/>
        <c:varyColors val="0"/>
        <c:ser>
          <c:idx val="0"/>
          <c:order val="0"/>
          <c:tx>
            <c:strRef>
              <c:f>'Data Considerations'!$D$18</c:f>
              <c:strCache>
                <c:ptCount val="1"/>
                <c:pt idx="0">
                  <c:v>Volume
(gal)</c:v>
                </c:pt>
              </c:strCache>
            </c:strRef>
          </c:tx>
          <c:spPr>
            <a:ln w="28575">
              <a:noFill/>
            </a:ln>
          </c:spPr>
          <c:marker>
            <c:symbol val="diamond"/>
            <c:size val="5"/>
            <c:spPr>
              <a:solidFill>
                <a:srgbClr val="000080"/>
              </a:solidFill>
              <a:ln>
                <a:solidFill>
                  <a:srgbClr val="000080"/>
                </a:solidFill>
                <a:prstDash val="solid"/>
              </a:ln>
            </c:spPr>
          </c:marker>
          <c:trendline>
            <c:spPr>
              <a:ln w="19050">
                <a:solidFill>
                  <a:srgbClr val="000000"/>
                </a:solidFill>
              </a:ln>
            </c:spPr>
            <c:trendlineType val="linear"/>
            <c:dispRSqr val="0"/>
            <c:dispEq val="1"/>
            <c:trendlineLbl>
              <c:layout>
                <c:manualLayout>
                  <c:x val="-4.1331083614548215E-2"/>
                  <c:y val="-2.8975275149429883E-2"/>
                </c:manualLayout>
              </c:layout>
              <c:tx>
                <c:rich>
                  <a:bodyPr/>
                  <a:lstStyle/>
                  <a:p>
                    <a:pPr>
                      <a:defRPr sz="1000"/>
                    </a:pPr>
                    <a:r>
                      <a:rPr lang="en-US" i="1" baseline="0"/>
                      <a:t>Volume = 29835 x Tank Level - 81938</a:t>
                    </a:r>
                    <a:endParaRPr lang="en-US" i="1"/>
                  </a:p>
                </c:rich>
              </c:tx>
              <c:numFmt formatCode="General" sourceLinked="0"/>
            </c:trendlineLbl>
          </c:trendline>
          <c:xVal>
            <c:numRef>
              <c:f>'Data Considerations'!$C$19:$C$43</c:f>
              <c:numCache>
                <c:formatCode>General</c:formatCode>
                <c:ptCount val="25"/>
                <c:pt idx="0">
                  <c:v>38</c:v>
                </c:pt>
                <c:pt idx="1">
                  <c:v>37</c:v>
                </c:pt>
                <c:pt idx="2">
                  <c:v>36</c:v>
                </c:pt>
                <c:pt idx="3">
                  <c:v>35</c:v>
                </c:pt>
                <c:pt idx="4">
                  <c:v>34</c:v>
                </c:pt>
                <c:pt idx="5">
                  <c:v>33</c:v>
                </c:pt>
                <c:pt idx="6">
                  <c:v>32</c:v>
                </c:pt>
                <c:pt idx="7">
                  <c:v>31</c:v>
                </c:pt>
                <c:pt idx="8">
                  <c:v>30</c:v>
                </c:pt>
                <c:pt idx="9">
                  <c:v>29</c:v>
                </c:pt>
                <c:pt idx="10">
                  <c:v>28</c:v>
                </c:pt>
                <c:pt idx="11">
                  <c:v>27</c:v>
                </c:pt>
                <c:pt idx="12">
                  <c:v>26</c:v>
                </c:pt>
                <c:pt idx="13">
                  <c:v>25</c:v>
                </c:pt>
                <c:pt idx="14">
                  <c:v>24</c:v>
                </c:pt>
                <c:pt idx="15">
                  <c:v>23</c:v>
                </c:pt>
                <c:pt idx="16">
                  <c:v>22</c:v>
                </c:pt>
                <c:pt idx="17">
                  <c:v>21</c:v>
                </c:pt>
                <c:pt idx="18">
                  <c:v>20</c:v>
                </c:pt>
                <c:pt idx="19">
                  <c:v>19</c:v>
                </c:pt>
                <c:pt idx="20">
                  <c:v>18</c:v>
                </c:pt>
                <c:pt idx="21">
                  <c:v>17</c:v>
                </c:pt>
                <c:pt idx="22">
                  <c:v>16</c:v>
                </c:pt>
                <c:pt idx="23">
                  <c:v>15</c:v>
                </c:pt>
                <c:pt idx="24">
                  <c:v>14</c:v>
                </c:pt>
              </c:numCache>
            </c:numRef>
          </c:xVal>
          <c:yVal>
            <c:numRef>
              <c:f>'Data Considerations'!$D$19:$D$43</c:f>
              <c:numCache>
                <c:formatCode>_(* #,##0_);_(* \(#,##0\);_(* "-"??_);_(@_)</c:formatCode>
                <c:ptCount val="25"/>
                <c:pt idx="0">
                  <c:v>1000000</c:v>
                </c:pt>
                <c:pt idx="1">
                  <c:v>998854</c:v>
                </c:pt>
                <c:pt idx="2">
                  <c:v>979744</c:v>
                </c:pt>
                <c:pt idx="3">
                  <c:v>958591</c:v>
                </c:pt>
                <c:pt idx="4">
                  <c:v>935672</c:v>
                </c:pt>
                <c:pt idx="5">
                  <c:v>911199</c:v>
                </c:pt>
                <c:pt idx="6">
                  <c:v>885347</c:v>
                </c:pt>
                <c:pt idx="7">
                  <c:v>858267</c:v>
                </c:pt>
                <c:pt idx="8">
                  <c:v>830096</c:v>
                </c:pt>
                <c:pt idx="9">
                  <c:v>800952</c:v>
                </c:pt>
                <c:pt idx="10">
                  <c:v>770967</c:v>
                </c:pt>
                <c:pt idx="11">
                  <c:v>740244</c:v>
                </c:pt>
                <c:pt idx="12">
                  <c:v>708889</c:v>
                </c:pt>
                <c:pt idx="13">
                  <c:v>677005</c:v>
                </c:pt>
                <c:pt idx="14">
                  <c:v>644691</c:v>
                </c:pt>
                <c:pt idx="15">
                  <c:v>612045</c:v>
                </c:pt>
                <c:pt idx="16">
                  <c:v>579163</c:v>
                </c:pt>
                <c:pt idx="17">
                  <c:v>546139</c:v>
                </c:pt>
                <c:pt idx="18">
                  <c:v>513068</c:v>
                </c:pt>
                <c:pt idx="19">
                  <c:v>480044</c:v>
                </c:pt>
                <c:pt idx="20">
                  <c:v>447162</c:v>
                </c:pt>
                <c:pt idx="21">
                  <c:v>414516</c:v>
                </c:pt>
                <c:pt idx="22">
                  <c:v>382202</c:v>
                </c:pt>
                <c:pt idx="23">
                  <c:v>350318</c:v>
                </c:pt>
                <c:pt idx="24">
                  <c:v>318963</c:v>
                </c:pt>
              </c:numCache>
            </c:numRef>
          </c:yVal>
          <c:smooth val="0"/>
          <c:extLst>
            <c:ext xmlns:c16="http://schemas.microsoft.com/office/drawing/2014/chart" uri="{C3380CC4-5D6E-409C-BE32-E72D297353CC}">
              <c16:uniqueId val="{00000001-B800-4C78-B480-F7B643003EC4}"/>
            </c:ext>
          </c:extLst>
        </c:ser>
        <c:dLbls>
          <c:showLegendKey val="0"/>
          <c:showVal val="0"/>
          <c:showCatName val="0"/>
          <c:showSerName val="0"/>
          <c:showPercent val="0"/>
          <c:showBubbleSize val="0"/>
        </c:dLbls>
        <c:axId val="333684720"/>
        <c:axId val="332528264"/>
      </c:scatterChart>
      <c:valAx>
        <c:axId val="333684720"/>
        <c:scaling>
          <c:orientation val="minMax"/>
          <c:min val="10"/>
        </c:scaling>
        <c:delete val="0"/>
        <c:axPos val="b"/>
        <c:title>
          <c:tx>
            <c:rich>
              <a:bodyPr/>
              <a:lstStyle/>
              <a:p>
                <a:pPr>
                  <a:defRPr sz="800" b="1" i="0" u="none" strike="noStrike" baseline="0">
                    <a:solidFill>
                      <a:srgbClr val="000000"/>
                    </a:solidFill>
                    <a:latin typeface="Arial"/>
                    <a:ea typeface="Arial"/>
                    <a:cs typeface="Arial"/>
                  </a:defRPr>
                </a:pPr>
                <a:r>
                  <a:rPr lang="en-US"/>
                  <a:t>Tank Level (ft)</a:t>
                </a:r>
              </a:p>
            </c:rich>
          </c:tx>
          <c:layout>
            <c:manualLayout>
              <c:xMode val="edge"/>
              <c:yMode val="edge"/>
              <c:x val="0.44258849290385505"/>
              <c:y val="0.9620119891856788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2528264"/>
        <c:crosses val="autoZero"/>
        <c:crossBetween val="midCat"/>
      </c:valAx>
      <c:valAx>
        <c:axId val="3325282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Volume (gallons)</a:t>
                </a:r>
              </a:p>
            </c:rich>
          </c:tx>
          <c:layout>
            <c:manualLayout>
              <c:xMode val="edge"/>
              <c:yMode val="edge"/>
              <c:x val="9.0029981110167669E-3"/>
              <c:y val="0.34275387930439932"/>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68472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66994750656266E-2"/>
          <c:y val="0.1245480535405516"/>
          <c:w val="0.85020250072907555"/>
          <c:h val="0.73742534151734951"/>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19050"/>
            </c:spPr>
            <c:trendlineType val="linear"/>
            <c:dispRSqr val="0"/>
            <c:dispEq val="1"/>
            <c:trendlineLbl>
              <c:layout>
                <c:manualLayout>
                  <c:x val="-0.12524752114319043"/>
                  <c:y val="9.7975253093363322E-3"/>
                </c:manualLayout>
              </c:layout>
              <c:tx>
                <c:rich>
                  <a:bodyPr/>
                  <a:lstStyle/>
                  <a:p>
                    <a:pPr>
                      <a:defRPr sz="1000" i="1"/>
                    </a:pPr>
                    <a:r>
                      <a:rPr lang="en-US" baseline="0"/>
                      <a:t>Tank Level = 2.4074 x Pressure - 121.26</a:t>
                    </a:r>
                    <a:endParaRPr lang="en-US"/>
                  </a:p>
                </c:rich>
              </c:tx>
              <c:numFmt formatCode="General" sourceLinked="0"/>
            </c:trendlineLbl>
          </c:trendline>
          <c:xVal>
            <c:numRef>
              <c:f>'Data Considerations'!$G$73:$G$74</c:f>
              <c:numCache>
                <c:formatCode>0.0</c:formatCode>
                <c:ptCount val="2"/>
                <c:pt idx="0">
                  <c:v>62</c:v>
                </c:pt>
                <c:pt idx="1">
                  <c:v>56.6</c:v>
                </c:pt>
              </c:numCache>
            </c:numRef>
          </c:xVal>
          <c:yVal>
            <c:numRef>
              <c:f>'Data Considerations'!$H$73:$H$74</c:f>
              <c:numCache>
                <c:formatCode>0.0</c:formatCode>
                <c:ptCount val="2"/>
                <c:pt idx="0">
                  <c:v>28</c:v>
                </c:pt>
                <c:pt idx="1">
                  <c:v>15</c:v>
                </c:pt>
              </c:numCache>
            </c:numRef>
          </c:yVal>
          <c:smooth val="0"/>
          <c:extLst>
            <c:ext xmlns:c16="http://schemas.microsoft.com/office/drawing/2014/chart" uri="{C3380CC4-5D6E-409C-BE32-E72D297353CC}">
              <c16:uniqueId val="{00000001-A75C-4AC4-A4C2-4D2FD013C5FC}"/>
            </c:ext>
          </c:extLst>
        </c:ser>
        <c:dLbls>
          <c:showLegendKey val="0"/>
          <c:showVal val="0"/>
          <c:showCatName val="0"/>
          <c:showSerName val="0"/>
          <c:showPercent val="0"/>
          <c:showBubbleSize val="0"/>
        </c:dLbls>
        <c:axId val="332527480"/>
        <c:axId val="333266344"/>
      </c:scatterChart>
      <c:valAx>
        <c:axId val="332527480"/>
        <c:scaling>
          <c:orientation val="minMax"/>
          <c:min val="10"/>
        </c:scaling>
        <c:delete val="0"/>
        <c:axPos val="b"/>
        <c:title>
          <c:tx>
            <c:rich>
              <a:bodyPr/>
              <a:lstStyle/>
              <a:p>
                <a:pPr>
                  <a:defRPr sz="800" b="1" i="0" u="none" strike="noStrike" baseline="0">
                    <a:solidFill>
                      <a:srgbClr val="000000"/>
                    </a:solidFill>
                    <a:latin typeface="Arial"/>
                    <a:ea typeface="Arial"/>
                    <a:cs typeface="Arial"/>
                  </a:defRPr>
                </a:pPr>
                <a:r>
                  <a:rPr lang="en-US"/>
                  <a:t>Pressure (psi)</a:t>
                </a:r>
              </a:p>
            </c:rich>
          </c:tx>
          <c:layout>
            <c:manualLayout>
              <c:xMode val="edge"/>
              <c:yMode val="edge"/>
              <c:x val="0.46341754155730536"/>
              <c:y val="0.9226274274770779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266344"/>
        <c:crosses val="autoZero"/>
        <c:crossBetween val="midCat"/>
      </c:valAx>
      <c:valAx>
        <c:axId val="33326634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Tank Level (ft)</a:t>
                </a:r>
              </a:p>
            </c:rich>
          </c:tx>
          <c:layout>
            <c:manualLayout>
              <c:xMode val="edge"/>
              <c:yMode val="edge"/>
              <c:x val="1.7444225721784782E-2"/>
              <c:y val="0.36937992987097146"/>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252748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#1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'Tank#1'!$H$18:$H$47</c:f>
              <c:strCache>
                <c:ptCount val="1"/>
                <c:pt idx="0">
                  <c:v>0.0</c:v>
                </c:pt>
              </c:strCache>
            </c:strRef>
          </c:xVal>
          <c:yVal>
            <c:numRef>
              <c:f>'Tank#1'!$I$18:$I$47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19D4-49D6-8470-8AB1AB64613F}"/>
            </c:ext>
          </c:extLst>
        </c:ser>
        <c:dLbls>
          <c:showLegendKey val="0"/>
          <c:showVal val="0"/>
          <c:showCatName val="0"/>
          <c:showSerName val="0"/>
          <c:showPercent val="0"/>
          <c:showBubbleSize val="0"/>
        </c:dLbls>
        <c:axId val="334795104"/>
        <c:axId val="334249800"/>
      </c:scatterChart>
      <c:valAx>
        <c:axId val="3347951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249800"/>
        <c:crosses val="autoZero"/>
        <c:crossBetween val="midCat"/>
      </c:valAx>
      <c:valAx>
        <c:axId val="334249800"/>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79510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#2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'Tank#2'!$H$18:$H$47</c:f>
              <c:strCache>
                <c:ptCount val="1"/>
                <c:pt idx="0">
                  <c:v>0.0</c:v>
                </c:pt>
              </c:strCache>
            </c:strRef>
          </c:xVal>
          <c:yVal>
            <c:numRef>
              <c:f>'Tank#2'!$I$18:$I$47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AB6A-4A0F-A05C-DFB5CDAF3846}"/>
            </c:ext>
          </c:extLst>
        </c:ser>
        <c:dLbls>
          <c:showLegendKey val="0"/>
          <c:showVal val="0"/>
          <c:showCatName val="0"/>
          <c:showSerName val="0"/>
          <c:showPercent val="0"/>
          <c:showBubbleSize val="0"/>
        </c:dLbls>
        <c:axId val="334252544"/>
        <c:axId val="334250976"/>
      </c:scatterChart>
      <c:valAx>
        <c:axId val="3342525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250976"/>
        <c:crosses val="autoZero"/>
        <c:crossBetween val="midCat"/>
      </c:valAx>
      <c:valAx>
        <c:axId val="334250976"/>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25254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#3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'Tank#3'!$H$18:$H$47</c:f>
              <c:strCache>
                <c:ptCount val="1"/>
                <c:pt idx="0">
                  <c:v>0.0</c:v>
                </c:pt>
              </c:strCache>
            </c:strRef>
          </c:xVal>
          <c:yVal>
            <c:numRef>
              <c:f>'Tank#3'!$I$18:$I$47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B240-4F6F-9519-A895DBCCD0D5}"/>
            </c:ext>
          </c:extLst>
        </c:ser>
        <c:dLbls>
          <c:showLegendKey val="0"/>
          <c:showVal val="0"/>
          <c:showCatName val="0"/>
          <c:showSerName val="0"/>
          <c:showPercent val="0"/>
          <c:showBubbleSize val="0"/>
        </c:dLbls>
        <c:axId val="334250192"/>
        <c:axId val="333245080"/>
      </c:scatterChart>
      <c:valAx>
        <c:axId val="3342501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245080"/>
        <c:crosses val="autoZero"/>
        <c:crossBetween val="midCat"/>
      </c:valAx>
      <c:valAx>
        <c:axId val="333245080"/>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2501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#4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'Tank#4'!$H$18:$H$47</c:f>
              <c:strCache>
                <c:ptCount val="1"/>
                <c:pt idx="0">
                  <c:v>0.0</c:v>
                </c:pt>
              </c:strCache>
            </c:strRef>
          </c:xVal>
          <c:yVal>
            <c:numRef>
              <c:f>'Tank#4'!$I$18:$I$47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7172-4774-A8CB-7C2D815CDDC2}"/>
            </c:ext>
          </c:extLst>
        </c:ser>
        <c:dLbls>
          <c:showLegendKey val="0"/>
          <c:showVal val="0"/>
          <c:showCatName val="0"/>
          <c:showSerName val="0"/>
          <c:showPercent val="0"/>
          <c:showBubbleSize val="0"/>
        </c:dLbls>
        <c:axId val="333244688"/>
        <c:axId val="333684328"/>
      </c:scatterChart>
      <c:valAx>
        <c:axId val="3332446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684328"/>
        <c:crosses val="autoZero"/>
        <c:crossBetween val="midCat"/>
      </c:valAx>
      <c:valAx>
        <c:axId val="333684328"/>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24468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#5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'Tank#5'!$H$18:$H$47</c:f>
              <c:strCache>
                <c:ptCount val="1"/>
                <c:pt idx="0">
                  <c:v>0.0</c:v>
                </c:pt>
              </c:strCache>
            </c:strRef>
          </c:xVal>
          <c:yVal>
            <c:numRef>
              <c:f>'Tank#5'!$I$18:$I$47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2CB4-46AB-8ACE-A1699D45B99E}"/>
            </c:ext>
          </c:extLst>
        </c:ser>
        <c:dLbls>
          <c:showLegendKey val="0"/>
          <c:showVal val="0"/>
          <c:showCatName val="0"/>
          <c:showSerName val="0"/>
          <c:showPercent val="0"/>
          <c:showBubbleSize val="0"/>
        </c:dLbls>
        <c:axId val="333682368"/>
        <c:axId val="333681976"/>
      </c:scatterChart>
      <c:valAx>
        <c:axId val="3336823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681976"/>
        <c:crosses val="autoZero"/>
        <c:crossBetween val="midCat"/>
      </c:valAx>
      <c:valAx>
        <c:axId val="333681976"/>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368236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#6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'Tank#6'!$H$18:$H$47</c:f>
              <c:strCache>
                <c:ptCount val="1"/>
                <c:pt idx="0">
                  <c:v>0.0</c:v>
                </c:pt>
              </c:strCache>
            </c:strRef>
          </c:xVal>
          <c:yVal>
            <c:numRef>
              <c:f>'Tank#6'!$I$18:$I$47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D34E-43A9-BA59-485FB7F99898}"/>
            </c:ext>
          </c:extLst>
        </c:ser>
        <c:dLbls>
          <c:showLegendKey val="0"/>
          <c:showVal val="0"/>
          <c:showCatName val="0"/>
          <c:showSerName val="0"/>
          <c:showPercent val="0"/>
          <c:showBubbleSize val="0"/>
        </c:dLbls>
        <c:axId val="334016816"/>
        <c:axId val="334018384"/>
      </c:scatterChart>
      <c:valAx>
        <c:axId val="3340168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018384"/>
        <c:crosses val="autoZero"/>
        <c:crossBetween val="midCat"/>
      </c:valAx>
      <c:valAx>
        <c:axId val="334018384"/>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0168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#7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'Tank#7'!$H$18:$H$47</c:f>
              <c:strCache>
                <c:ptCount val="1"/>
                <c:pt idx="0">
                  <c:v>0.0</c:v>
                </c:pt>
              </c:strCache>
            </c:strRef>
          </c:xVal>
          <c:yVal>
            <c:numRef>
              <c:f>'Tank#7'!$I$18:$I$47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19F1-4915-B0DA-28D787BC9A1D}"/>
            </c:ext>
          </c:extLst>
        </c:ser>
        <c:dLbls>
          <c:showLegendKey val="0"/>
          <c:showVal val="0"/>
          <c:showCatName val="0"/>
          <c:showSerName val="0"/>
          <c:showPercent val="0"/>
          <c:showBubbleSize val="0"/>
        </c:dLbls>
        <c:axId val="334020344"/>
        <c:axId val="334018776"/>
      </c:scatterChart>
      <c:valAx>
        <c:axId val="3340203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018776"/>
        <c:crosses val="autoZero"/>
        <c:crossBetween val="midCat"/>
      </c:valAx>
      <c:valAx>
        <c:axId val="334018776"/>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402034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Tank #8 Graph</a:t>
            </a:r>
          </a:p>
        </c:rich>
      </c:tx>
      <c:layout>
        <c:manualLayout>
          <c:xMode val="edge"/>
          <c:yMode val="edge"/>
          <c:x val="0.39641997435742643"/>
          <c:y val="3.7037037037037056E-2"/>
        </c:manualLayout>
      </c:layout>
      <c:overlay val="0"/>
      <c:spPr>
        <a:noFill/>
        <a:ln w="25400">
          <a:noFill/>
        </a:ln>
      </c:spPr>
    </c:title>
    <c:autoTitleDeleted val="0"/>
    <c:plotArea>
      <c:layout>
        <c:manualLayout>
          <c:layoutTarget val="inner"/>
          <c:xMode val="edge"/>
          <c:yMode val="edge"/>
          <c:x val="0.16368306885773271"/>
          <c:y val="0.17777842078421871"/>
          <c:w val="0.76726438527062157"/>
          <c:h val="0.64444677534279271"/>
        </c:manualLayout>
      </c:layout>
      <c:scatterChart>
        <c:scatterStyle val="lineMarker"/>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xVal>
            <c:strRef>
              <c:f>'Tank#8'!$H$18:$H$47</c:f>
              <c:strCache>
                <c:ptCount val="1"/>
                <c:pt idx="0">
                  <c:v>0.0</c:v>
                </c:pt>
              </c:strCache>
            </c:strRef>
          </c:xVal>
          <c:yVal>
            <c:numRef>
              <c:f>'Tank#8'!$I$18:$I$47</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0-7679-4C16-BEBA-E8243AECB8BE}"/>
            </c:ext>
          </c:extLst>
        </c:ser>
        <c:dLbls>
          <c:showLegendKey val="0"/>
          <c:showVal val="0"/>
          <c:showCatName val="0"/>
          <c:showSerName val="0"/>
          <c:showPercent val="0"/>
          <c:showBubbleSize val="0"/>
        </c:dLbls>
        <c:axId val="332527088"/>
        <c:axId val="332529440"/>
      </c:scatterChart>
      <c:valAx>
        <c:axId val="3325270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Time (days)</a:t>
                </a:r>
              </a:p>
            </c:rich>
          </c:tx>
          <c:layout>
            <c:manualLayout>
              <c:xMode val="edge"/>
              <c:yMode val="edge"/>
              <c:x val="0.46035859328325729"/>
              <c:y val="0.907410518129678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2529440"/>
        <c:crosses val="autoZero"/>
        <c:crossBetween val="midCat"/>
      </c:valAx>
      <c:valAx>
        <c:axId val="332529440"/>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Level (ft/gal)</a:t>
                </a:r>
              </a:p>
            </c:rich>
          </c:tx>
          <c:layout>
            <c:manualLayout>
              <c:xMode val="edge"/>
              <c:yMode val="edge"/>
              <c:x val="4.6035805626598467E-2"/>
              <c:y val="0.3666678331875186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252708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image" Target="../media/image3.png"/><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45068" name="Chart 3">
          <a:extLst>
            <a:ext uri="{FF2B5EF4-FFF2-40B4-BE49-F238E27FC236}">
              <a16:creationId xmlns:a16="http://schemas.microsoft.com/office/drawing/2014/main" id="{00000000-0008-0000-0200-00000CB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7836" name="Chart 3">
          <a:extLst>
            <a:ext uri="{FF2B5EF4-FFF2-40B4-BE49-F238E27FC236}">
              <a16:creationId xmlns:a16="http://schemas.microsoft.com/office/drawing/2014/main" id="{00000000-0008-0000-0B00-00000C3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17</xdr:row>
      <xdr:rowOff>0</xdr:rowOff>
    </xdr:from>
    <xdr:to>
      <xdr:col>11</xdr:col>
      <xdr:colOff>0</xdr:colOff>
      <xdr:row>42</xdr:row>
      <xdr:rowOff>0</xdr:rowOff>
    </xdr:to>
    <xdr:graphicFrame macro="">
      <xdr:nvGraphicFramePr>
        <xdr:cNvPr id="8" name="Chart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67235</xdr:colOff>
      <xdr:row>25</xdr:row>
      <xdr:rowOff>104775</xdr:rowOff>
    </xdr:from>
    <xdr:to>
      <xdr:col>11</xdr:col>
      <xdr:colOff>553010</xdr:colOff>
      <xdr:row>28</xdr:row>
      <xdr:rowOff>9525</xdr:rowOff>
    </xdr:to>
    <xdr:sp macro="" textlink="">
      <xdr:nvSpPr>
        <xdr:cNvPr id="9" name="AutoShape 2">
          <a:extLst>
            <a:ext uri="{FF2B5EF4-FFF2-40B4-BE49-F238E27FC236}">
              <a16:creationId xmlns:a16="http://schemas.microsoft.com/office/drawing/2014/main" id="{00000000-0008-0000-0C00-000009000000}"/>
            </a:ext>
          </a:extLst>
        </xdr:cNvPr>
        <xdr:cNvSpPr>
          <a:spLocks noChangeArrowheads="1"/>
        </xdr:cNvSpPr>
      </xdr:nvSpPr>
      <xdr:spPr bwMode="auto">
        <a:xfrm>
          <a:off x="6353735" y="4833657"/>
          <a:ext cx="485775" cy="375397"/>
        </a:xfrm>
        <a:prstGeom prst="rightArrow">
          <a:avLst>
            <a:gd name="adj1" fmla="val 50000"/>
            <a:gd name="adj2" fmla="val 26829"/>
          </a:avLst>
        </a:prstGeom>
        <a:solidFill>
          <a:srgbClr val="000000"/>
        </a:solidFill>
        <a:ln w="9525">
          <a:solidFill>
            <a:srgbClr val="000000"/>
          </a:solidFill>
          <a:miter lim="800000"/>
          <a:headEnd/>
          <a:tailEnd/>
        </a:ln>
      </xdr:spPr>
    </xdr:sp>
    <xdr:clientData/>
  </xdr:twoCellAnchor>
  <xdr:twoCellAnchor>
    <xdr:from>
      <xdr:col>9</xdr:col>
      <xdr:colOff>104775</xdr:colOff>
      <xdr:row>53</xdr:row>
      <xdr:rowOff>85725</xdr:rowOff>
    </xdr:from>
    <xdr:to>
      <xdr:col>9</xdr:col>
      <xdr:colOff>523875</xdr:colOff>
      <xdr:row>55</xdr:row>
      <xdr:rowOff>152400</xdr:rowOff>
    </xdr:to>
    <xdr:sp macro="" textlink="">
      <xdr:nvSpPr>
        <xdr:cNvPr id="10" name="AutoShape 8">
          <a:extLst>
            <a:ext uri="{FF2B5EF4-FFF2-40B4-BE49-F238E27FC236}">
              <a16:creationId xmlns:a16="http://schemas.microsoft.com/office/drawing/2014/main" id="{00000000-0008-0000-0C00-00000A000000}"/>
            </a:ext>
          </a:extLst>
        </xdr:cNvPr>
        <xdr:cNvSpPr>
          <a:spLocks noChangeArrowheads="1"/>
        </xdr:cNvSpPr>
      </xdr:nvSpPr>
      <xdr:spPr bwMode="auto">
        <a:xfrm>
          <a:off x="4552950" y="8886825"/>
          <a:ext cx="419100" cy="390525"/>
        </a:xfrm>
        <a:prstGeom prst="rightArrow">
          <a:avLst>
            <a:gd name="adj1" fmla="val 50000"/>
            <a:gd name="adj2" fmla="val 26829"/>
          </a:avLst>
        </a:prstGeom>
        <a:solidFill>
          <a:srgbClr val="000000"/>
        </a:solidFill>
        <a:ln w="9525">
          <a:solidFill>
            <a:srgbClr val="000000"/>
          </a:solidFill>
          <a:miter lim="800000"/>
          <a:headEnd/>
          <a:tailEnd/>
        </a:ln>
      </xdr:spPr>
    </xdr:sp>
    <xdr:clientData/>
  </xdr:twoCellAnchor>
  <xdr:twoCellAnchor>
    <xdr:from>
      <xdr:col>2</xdr:col>
      <xdr:colOff>0</xdr:colOff>
      <xdr:row>74</xdr:row>
      <xdr:rowOff>95251</xdr:rowOff>
    </xdr:from>
    <xdr:to>
      <xdr:col>11</xdr:col>
      <xdr:colOff>0</xdr:colOff>
      <xdr:row>96</xdr:row>
      <xdr:rowOff>1</xdr:rowOff>
    </xdr:to>
    <xdr:graphicFrame macro="">
      <xdr:nvGraphicFramePr>
        <xdr:cNvPr id="11" name="Chart 7">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76200</xdr:colOff>
      <xdr:row>82</xdr:row>
      <xdr:rowOff>57150</xdr:rowOff>
    </xdr:from>
    <xdr:to>
      <xdr:col>11</xdr:col>
      <xdr:colOff>495300</xdr:colOff>
      <xdr:row>84</xdr:row>
      <xdr:rowOff>123825</xdr:rowOff>
    </xdr:to>
    <xdr:sp macro="" textlink="">
      <xdr:nvSpPr>
        <xdr:cNvPr id="12" name="AutoShape 9">
          <a:extLst>
            <a:ext uri="{FF2B5EF4-FFF2-40B4-BE49-F238E27FC236}">
              <a16:creationId xmlns:a16="http://schemas.microsoft.com/office/drawing/2014/main" id="{00000000-0008-0000-0C00-00000C000000}"/>
            </a:ext>
          </a:extLst>
        </xdr:cNvPr>
        <xdr:cNvSpPr>
          <a:spLocks noChangeArrowheads="1"/>
        </xdr:cNvSpPr>
      </xdr:nvSpPr>
      <xdr:spPr bwMode="auto">
        <a:xfrm>
          <a:off x="5743575" y="14382750"/>
          <a:ext cx="419100" cy="390525"/>
        </a:xfrm>
        <a:prstGeom prst="rightArrow">
          <a:avLst>
            <a:gd name="adj1" fmla="val 50000"/>
            <a:gd name="adj2" fmla="val 26829"/>
          </a:avLst>
        </a:prstGeom>
        <a:solidFill>
          <a:srgbClr val="000000"/>
        </a:solidFill>
        <a:ln w="9525">
          <a:solidFill>
            <a:srgbClr val="000000"/>
          </a:solidFill>
          <a:miter lim="800000"/>
          <a:headEnd/>
          <a:tailEnd/>
        </a:ln>
      </xdr:spPr>
    </xdr:sp>
    <xdr:clientData/>
  </xdr:twoCellAnchor>
  <xdr:twoCellAnchor>
    <xdr:from>
      <xdr:col>2</xdr:col>
      <xdr:colOff>114300</xdr:colOff>
      <xdr:row>104</xdr:row>
      <xdr:rowOff>104778</xdr:rowOff>
    </xdr:from>
    <xdr:to>
      <xdr:col>9</xdr:col>
      <xdr:colOff>427714</xdr:colOff>
      <xdr:row>124</xdr:row>
      <xdr:rowOff>4170</xdr:rowOff>
    </xdr:to>
    <xdr:grpSp>
      <xdr:nvGrpSpPr>
        <xdr:cNvPr id="13" name="Group 12">
          <a:extLst>
            <a:ext uri="{FF2B5EF4-FFF2-40B4-BE49-F238E27FC236}">
              <a16:creationId xmlns:a16="http://schemas.microsoft.com/office/drawing/2014/main" id="{00000000-0008-0000-0C00-00000D000000}"/>
            </a:ext>
          </a:extLst>
        </xdr:cNvPr>
        <xdr:cNvGrpSpPr>
          <a:grpSpLocks noChangeAspect="1"/>
        </xdr:cNvGrpSpPr>
      </xdr:nvGrpSpPr>
      <xdr:grpSpPr>
        <a:xfrm>
          <a:off x="342900" y="19773903"/>
          <a:ext cx="4580614" cy="3137892"/>
          <a:chOff x="762000" y="1371600"/>
          <a:chExt cx="7355950" cy="5039103"/>
        </a:xfrm>
      </xdr:grpSpPr>
      <xdr:pic>
        <xdr:nvPicPr>
          <xdr:cNvPr id="14" name="Picture 1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62000" y="1371600"/>
            <a:ext cx="7355950" cy="5039103"/>
          </a:xfrm>
          <a:prstGeom prst="rect">
            <a:avLst/>
          </a:prstGeom>
          <a:noFill/>
          <a:ln w="9525">
            <a:noFill/>
            <a:miter lim="800000"/>
            <a:headEnd/>
            <a:tailEnd/>
          </a:ln>
        </xdr:spPr>
      </xdr:pic>
      <xdr:sp macro="" textlink="">
        <xdr:nvSpPr>
          <xdr:cNvPr id="15" name="Oval 14">
            <a:extLst>
              <a:ext uri="{FF2B5EF4-FFF2-40B4-BE49-F238E27FC236}">
                <a16:creationId xmlns:a16="http://schemas.microsoft.com/office/drawing/2014/main" id="{00000000-0008-0000-0C00-00000F000000}"/>
              </a:ext>
            </a:extLst>
          </xdr:cNvPr>
          <xdr:cNvSpPr/>
        </xdr:nvSpPr>
        <xdr:spPr bwMode="auto">
          <a:xfrm>
            <a:off x="1447800" y="2667000"/>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6" name="Oval 15">
            <a:extLst>
              <a:ext uri="{FF2B5EF4-FFF2-40B4-BE49-F238E27FC236}">
                <a16:creationId xmlns:a16="http://schemas.microsoft.com/office/drawing/2014/main" id="{00000000-0008-0000-0C00-000010000000}"/>
              </a:ext>
            </a:extLst>
          </xdr:cNvPr>
          <xdr:cNvSpPr/>
        </xdr:nvSpPr>
        <xdr:spPr bwMode="auto">
          <a:xfrm>
            <a:off x="1903625" y="5003991"/>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7" name="Oval 16">
            <a:extLst>
              <a:ext uri="{FF2B5EF4-FFF2-40B4-BE49-F238E27FC236}">
                <a16:creationId xmlns:a16="http://schemas.microsoft.com/office/drawing/2014/main" id="{00000000-0008-0000-0C00-000011000000}"/>
              </a:ext>
            </a:extLst>
          </xdr:cNvPr>
          <xdr:cNvSpPr/>
        </xdr:nvSpPr>
        <xdr:spPr bwMode="auto">
          <a:xfrm>
            <a:off x="2231973" y="2601055"/>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8" name="Oval 17">
            <a:extLst>
              <a:ext uri="{FF2B5EF4-FFF2-40B4-BE49-F238E27FC236}">
                <a16:creationId xmlns:a16="http://schemas.microsoft.com/office/drawing/2014/main" id="{00000000-0008-0000-0C00-000012000000}"/>
              </a:ext>
            </a:extLst>
          </xdr:cNvPr>
          <xdr:cNvSpPr/>
        </xdr:nvSpPr>
        <xdr:spPr bwMode="auto">
          <a:xfrm>
            <a:off x="2730051" y="4717849"/>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9" name="Oval 18">
            <a:extLst>
              <a:ext uri="{FF2B5EF4-FFF2-40B4-BE49-F238E27FC236}">
                <a16:creationId xmlns:a16="http://schemas.microsoft.com/office/drawing/2014/main" id="{00000000-0008-0000-0C00-000013000000}"/>
              </a:ext>
            </a:extLst>
          </xdr:cNvPr>
          <xdr:cNvSpPr/>
        </xdr:nvSpPr>
        <xdr:spPr bwMode="auto">
          <a:xfrm>
            <a:off x="3053556" y="2677255"/>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0" name="Oval 19">
            <a:extLst>
              <a:ext uri="{FF2B5EF4-FFF2-40B4-BE49-F238E27FC236}">
                <a16:creationId xmlns:a16="http://schemas.microsoft.com/office/drawing/2014/main" id="{00000000-0008-0000-0C00-000014000000}"/>
              </a:ext>
            </a:extLst>
          </xdr:cNvPr>
          <xdr:cNvSpPr/>
        </xdr:nvSpPr>
        <xdr:spPr bwMode="auto">
          <a:xfrm>
            <a:off x="3586958" y="4882071"/>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1" name="Oval 20">
            <a:extLst>
              <a:ext uri="{FF2B5EF4-FFF2-40B4-BE49-F238E27FC236}">
                <a16:creationId xmlns:a16="http://schemas.microsoft.com/office/drawing/2014/main" id="{00000000-0008-0000-0C00-000015000000}"/>
              </a:ext>
            </a:extLst>
          </xdr:cNvPr>
          <xdr:cNvSpPr/>
        </xdr:nvSpPr>
        <xdr:spPr bwMode="auto">
          <a:xfrm>
            <a:off x="3966582" y="2765277"/>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2" name="Oval 21">
            <a:extLst>
              <a:ext uri="{FF2B5EF4-FFF2-40B4-BE49-F238E27FC236}">
                <a16:creationId xmlns:a16="http://schemas.microsoft.com/office/drawing/2014/main" id="{00000000-0008-0000-0C00-000016000000}"/>
              </a:ext>
            </a:extLst>
          </xdr:cNvPr>
          <xdr:cNvSpPr/>
        </xdr:nvSpPr>
        <xdr:spPr bwMode="auto">
          <a:xfrm>
            <a:off x="4401609" y="4870249"/>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3" name="Oval 22">
            <a:extLst>
              <a:ext uri="{FF2B5EF4-FFF2-40B4-BE49-F238E27FC236}">
                <a16:creationId xmlns:a16="http://schemas.microsoft.com/office/drawing/2014/main" id="{00000000-0008-0000-0C00-000017000000}"/>
              </a:ext>
            </a:extLst>
          </xdr:cNvPr>
          <xdr:cNvSpPr/>
        </xdr:nvSpPr>
        <xdr:spPr bwMode="auto">
          <a:xfrm>
            <a:off x="4693259" y="2743199"/>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4" name="Oval 23">
            <a:extLst>
              <a:ext uri="{FF2B5EF4-FFF2-40B4-BE49-F238E27FC236}">
                <a16:creationId xmlns:a16="http://schemas.microsoft.com/office/drawing/2014/main" id="{00000000-0008-0000-0C00-000018000000}"/>
              </a:ext>
            </a:extLst>
          </xdr:cNvPr>
          <xdr:cNvSpPr/>
        </xdr:nvSpPr>
        <xdr:spPr bwMode="auto">
          <a:xfrm>
            <a:off x="6300392" y="2548498"/>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5" name="Oval 24">
            <a:extLst>
              <a:ext uri="{FF2B5EF4-FFF2-40B4-BE49-F238E27FC236}">
                <a16:creationId xmlns:a16="http://schemas.microsoft.com/office/drawing/2014/main" id="{00000000-0008-0000-0C00-000019000000}"/>
              </a:ext>
            </a:extLst>
          </xdr:cNvPr>
          <xdr:cNvSpPr/>
        </xdr:nvSpPr>
        <xdr:spPr bwMode="auto">
          <a:xfrm>
            <a:off x="6017764" y="4904147"/>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6" name="Oval 25">
            <a:extLst>
              <a:ext uri="{FF2B5EF4-FFF2-40B4-BE49-F238E27FC236}">
                <a16:creationId xmlns:a16="http://schemas.microsoft.com/office/drawing/2014/main" id="{00000000-0008-0000-0C00-00001A000000}"/>
              </a:ext>
            </a:extLst>
          </xdr:cNvPr>
          <xdr:cNvSpPr/>
        </xdr:nvSpPr>
        <xdr:spPr bwMode="auto">
          <a:xfrm>
            <a:off x="5431713" y="2743199"/>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7" name="Oval 26">
            <a:extLst>
              <a:ext uri="{FF2B5EF4-FFF2-40B4-BE49-F238E27FC236}">
                <a16:creationId xmlns:a16="http://schemas.microsoft.com/office/drawing/2014/main" id="{00000000-0008-0000-0C00-00001B000000}"/>
              </a:ext>
            </a:extLst>
          </xdr:cNvPr>
          <xdr:cNvSpPr/>
        </xdr:nvSpPr>
        <xdr:spPr bwMode="auto">
          <a:xfrm>
            <a:off x="5116513" y="4870249"/>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8" name="Oval 27">
            <a:extLst>
              <a:ext uri="{FF2B5EF4-FFF2-40B4-BE49-F238E27FC236}">
                <a16:creationId xmlns:a16="http://schemas.microsoft.com/office/drawing/2014/main" id="{00000000-0008-0000-0C00-00001C000000}"/>
              </a:ext>
            </a:extLst>
          </xdr:cNvPr>
          <xdr:cNvSpPr/>
        </xdr:nvSpPr>
        <xdr:spPr bwMode="auto">
          <a:xfrm>
            <a:off x="6950870" y="2643357"/>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29" name="Oval 28">
            <a:extLst>
              <a:ext uri="{FF2B5EF4-FFF2-40B4-BE49-F238E27FC236}">
                <a16:creationId xmlns:a16="http://schemas.microsoft.com/office/drawing/2014/main" id="{00000000-0008-0000-0C00-00001D000000}"/>
              </a:ext>
            </a:extLst>
          </xdr:cNvPr>
          <xdr:cNvSpPr/>
        </xdr:nvSpPr>
        <xdr:spPr bwMode="auto">
          <a:xfrm>
            <a:off x="6722270" y="4788778"/>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0" name="Oval 29">
            <a:extLst>
              <a:ext uri="{FF2B5EF4-FFF2-40B4-BE49-F238E27FC236}">
                <a16:creationId xmlns:a16="http://schemas.microsoft.com/office/drawing/2014/main" id="{00000000-0008-0000-0C00-00001E000000}"/>
              </a:ext>
            </a:extLst>
          </xdr:cNvPr>
          <xdr:cNvSpPr/>
        </xdr:nvSpPr>
        <xdr:spPr bwMode="auto">
          <a:xfrm>
            <a:off x="7472497" y="4893893"/>
            <a:ext cx="182880" cy="182880"/>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grpSp>
    <xdr:clientData/>
  </xdr:twoCellAnchor>
  <xdr:twoCellAnchor>
    <xdr:from>
      <xdr:col>10</xdr:col>
      <xdr:colOff>523881</xdr:colOff>
      <xdr:row>105</xdr:row>
      <xdr:rowOff>85729</xdr:rowOff>
    </xdr:from>
    <xdr:to>
      <xdr:col>17</xdr:col>
      <xdr:colOff>517158</xdr:colOff>
      <xdr:row>122</xdr:row>
      <xdr:rowOff>114304</xdr:rowOff>
    </xdr:to>
    <xdr:grpSp>
      <xdr:nvGrpSpPr>
        <xdr:cNvPr id="31" name="Group 30">
          <a:extLst>
            <a:ext uri="{FF2B5EF4-FFF2-40B4-BE49-F238E27FC236}">
              <a16:creationId xmlns:a16="http://schemas.microsoft.com/office/drawing/2014/main" id="{00000000-0008-0000-0C00-00001F000000}"/>
            </a:ext>
          </a:extLst>
        </xdr:cNvPr>
        <xdr:cNvGrpSpPr>
          <a:grpSpLocks noChangeAspect="1"/>
        </xdr:cNvGrpSpPr>
      </xdr:nvGrpSpPr>
      <xdr:grpSpPr>
        <a:xfrm>
          <a:off x="5629281" y="19916779"/>
          <a:ext cx="4336677" cy="2781300"/>
          <a:chOff x="381000" y="838200"/>
          <a:chExt cx="8673353" cy="5562600"/>
        </a:xfrm>
      </xdr:grpSpPr>
      <xdr:pic>
        <xdr:nvPicPr>
          <xdr:cNvPr id="86" name="Picture 85">
            <a:extLst>
              <a:ext uri="{FF2B5EF4-FFF2-40B4-BE49-F238E27FC236}">
                <a16:creationId xmlns:a16="http://schemas.microsoft.com/office/drawing/2014/main" id="{00000000-0008-0000-0C00-000056000000}"/>
              </a:ext>
            </a:extLst>
          </xdr:cNvPr>
          <xdr:cNvPicPr>
            <a:picLocks noChangeAspect="1" noChangeArrowheads="1"/>
          </xdr:cNvPicPr>
        </xdr:nvPicPr>
        <xdr:blipFill>
          <a:blip xmlns:r="http://schemas.openxmlformats.org/officeDocument/2006/relationships" r:embed="rId4" cstate="print"/>
          <a:srcRect t="13425" r="3490" b="2309"/>
          <a:stretch>
            <a:fillRect/>
          </a:stretch>
        </xdr:blipFill>
        <xdr:spPr bwMode="auto">
          <a:xfrm>
            <a:off x="381000" y="838200"/>
            <a:ext cx="8673353" cy="5562600"/>
          </a:xfrm>
          <a:prstGeom prst="rect">
            <a:avLst/>
          </a:prstGeom>
          <a:noFill/>
          <a:ln w="9525">
            <a:noFill/>
            <a:miter lim="800000"/>
            <a:headEnd/>
            <a:tailEnd/>
          </a:ln>
        </xdr:spPr>
      </xdr:pic>
      <xdr:sp macro="" textlink="">
        <xdr:nvSpPr>
          <xdr:cNvPr id="33" name="Oval 32">
            <a:extLst>
              <a:ext uri="{FF2B5EF4-FFF2-40B4-BE49-F238E27FC236}">
                <a16:creationId xmlns:a16="http://schemas.microsoft.com/office/drawing/2014/main" id="{00000000-0008-0000-0C00-000021000000}"/>
              </a:ext>
            </a:extLst>
          </xdr:cNvPr>
          <xdr:cNvSpPr/>
        </xdr:nvSpPr>
        <xdr:spPr bwMode="auto">
          <a:xfrm>
            <a:off x="1136772" y="3576524"/>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4" name="Oval 33">
            <a:extLst>
              <a:ext uri="{FF2B5EF4-FFF2-40B4-BE49-F238E27FC236}">
                <a16:creationId xmlns:a16="http://schemas.microsoft.com/office/drawing/2014/main" id="{00000000-0008-0000-0C00-000022000000}"/>
              </a:ext>
            </a:extLst>
          </xdr:cNvPr>
          <xdr:cNvSpPr/>
        </xdr:nvSpPr>
        <xdr:spPr bwMode="auto">
          <a:xfrm>
            <a:off x="1517771" y="1702004"/>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5" name="Oval 34">
            <a:extLst>
              <a:ext uri="{FF2B5EF4-FFF2-40B4-BE49-F238E27FC236}">
                <a16:creationId xmlns:a16="http://schemas.microsoft.com/office/drawing/2014/main" id="{00000000-0008-0000-0C00-000023000000}"/>
              </a:ext>
            </a:extLst>
          </xdr:cNvPr>
          <xdr:cNvSpPr/>
        </xdr:nvSpPr>
        <xdr:spPr bwMode="auto">
          <a:xfrm>
            <a:off x="1944491" y="1671524"/>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6" name="Oval 35">
            <a:extLst>
              <a:ext uri="{FF2B5EF4-FFF2-40B4-BE49-F238E27FC236}">
                <a16:creationId xmlns:a16="http://schemas.microsoft.com/office/drawing/2014/main" id="{00000000-0008-0000-0C00-000024000000}"/>
              </a:ext>
            </a:extLst>
          </xdr:cNvPr>
          <xdr:cNvSpPr/>
        </xdr:nvSpPr>
        <xdr:spPr bwMode="auto">
          <a:xfrm>
            <a:off x="1715892" y="4369005"/>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7" name="Oval 36">
            <a:extLst>
              <a:ext uri="{FF2B5EF4-FFF2-40B4-BE49-F238E27FC236}">
                <a16:creationId xmlns:a16="http://schemas.microsoft.com/office/drawing/2014/main" id="{00000000-0008-0000-0C00-000025000000}"/>
              </a:ext>
            </a:extLst>
          </xdr:cNvPr>
          <xdr:cNvSpPr/>
        </xdr:nvSpPr>
        <xdr:spPr bwMode="auto">
          <a:xfrm>
            <a:off x="2173092" y="3805125"/>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8" name="Oval 37">
            <a:extLst>
              <a:ext uri="{FF2B5EF4-FFF2-40B4-BE49-F238E27FC236}">
                <a16:creationId xmlns:a16="http://schemas.microsoft.com/office/drawing/2014/main" id="{00000000-0008-0000-0C00-000026000000}"/>
              </a:ext>
            </a:extLst>
          </xdr:cNvPr>
          <xdr:cNvSpPr/>
        </xdr:nvSpPr>
        <xdr:spPr bwMode="auto">
          <a:xfrm>
            <a:off x="3194173" y="271808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39" name="Oval 38">
            <a:extLst>
              <a:ext uri="{FF2B5EF4-FFF2-40B4-BE49-F238E27FC236}">
                <a16:creationId xmlns:a16="http://schemas.microsoft.com/office/drawing/2014/main" id="{00000000-0008-0000-0C00-000027000000}"/>
              </a:ext>
            </a:extLst>
          </xdr:cNvPr>
          <xdr:cNvSpPr/>
        </xdr:nvSpPr>
        <xdr:spPr bwMode="auto">
          <a:xfrm>
            <a:off x="2477891" y="557720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0" name="Oval 39">
            <a:extLst>
              <a:ext uri="{FF2B5EF4-FFF2-40B4-BE49-F238E27FC236}">
                <a16:creationId xmlns:a16="http://schemas.microsoft.com/office/drawing/2014/main" id="{00000000-0008-0000-0C00-000028000000}"/>
              </a:ext>
            </a:extLst>
          </xdr:cNvPr>
          <xdr:cNvSpPr/>
        </xdr:nvSpPr>
        <xdr:spPr bwMode="auto">
          <a:xfrm>
            <a:off x="1411092" y="3576524"/>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1" name="Oval 40">
            <a:extLst>
              <a:ext uri="{FF2B5EF4-FFF2-40B4-BE49-F238E27FC236}">
                <a16:creationId xmlns:a16="http://schemas.microsoft.com/office/drawing/2014/main" id="{00000000-0008-0000-0C00-000029000000}"/>
              </a:ext>
            </a:extLst>
          </xdr:cNvPr>
          <xdr:cNvSpPr/>
        </xdr:nvSpPr>
        <xdr:spPr bwMode="auto">
          <a:xfrm>
            <a:off x="1289172" y="2692605"/>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2" name="Oval 41">
            <a:extLst>
              <a:ext uri="{FF2B5EF4-FFF2-40B4-BE49-F238E27FC236}">
                <a16:creationId xmlns:a16="http://schemas.microsoft.com/office/drawing/2014/main" id="{00000000-0008-0000-0C00-00002A000000}"/>
              </a:ext>
            </a:extLst>
          </xdr:cNvPr>
          <xdr:cNvSpPr/>
        </xdr:nvSpPr>
        <xdr:spPr bwMode="auto">
          <a:xfrm>
            <a:off x="2965572" y="168176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3" name="Oval 42">
            <a:extLst>
              <a:ext uri="{FF2B5EF4-FFF2-40B4-BE49-F238E27FC236}">
                <a16:creationId xmlns:a16="http://schemas.microsoft.com/office/drawing/2014/main" id="{00000000-0008-0000-0C00-00002B000000}"/>
              </a:ext>
            </a:extLst>
          </xdr:cNvPr>
          <xdr:cNvSpPr/>
        </xdr:nvSpPr>
        <xdr:spPr bwMode="auto">
          <a:xfrm>
            <a:off x="3041773" y="264188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4" name="Oval 43">
            <a:extLst>
              <a:ext uri="{FF2B5EF4-FFF2-40B4-BE49-F238E27FC236}">
                <a16:creationId xmlns:a16="http://schemas.microsoft.com/office/drawing/2014/main" id="{00000000-0008-0000-0C00-00002C000000}"/>
              </a:ext>
            </a:extLst>
          </xdr:cNvPr>
          <xdr:cNvSpPr/>
        </xdr:nvSpPr>
        <xdr:spPr bwMode="auto">
          <a:xfrm>
            <a:off x="2858892" y="297716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5" name="Oval 44">
            <a:extLst>
              <a:ext uri="{FF2B5EF4-FFF2-40B4-BE49-F238E27FC236}">
                <a16:creationId xmlns:a16="http://schemas.microsoft.com/office/drawing/2014/main" id="{00000000-0008-0000-0C00-00002D000000}"/>
              </a:ext>
            </a:extLst>
          </xdr:cNvPr>
          <xdr:cNvSpPr/>
        </xdr:nvSpPr>
        <xdr:spPr bwMode="auto">
          <a:xfrm>
            <a:off x="2813172" y="229136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6" name="Oval 45">
            <a:extLst>
              <a:ext uri="{FF2B5EF4-FFF2-40B4-BE49-F238E27FC236}">
                <a16:creationId xmlns:a16="http://schemas.microsoft.com/office/drawing/2014/main" id="{00000000-0008-0000-0C00-00002E000000}"/>
              </a:ext>
            </a:extLst>
          </xdr:cNvPr>
          <xdr:cNvSpPr/>
        </xdr:nvSpPr>
        <xdr:spPr bwMode="auto">
          <a:xfrm>
            <a:off x="2096893" y="487192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7" name="Oval 46">
            <a:extLst>
              <a:ext uri="{FF2B5EF4-FFF2-40B4-BE49-F238E27FC236}">
                <a16:creationId xmlns:a16="http://schemas.microsoft.com/office/drawing/2014/main" id="{00000000-0008-0000-0C00-00002F000000}"/>
              </a:ext>
            </a:extLst>
          </xdr:cNvPr>
          <xdr:cNvSpPr/>
        </xdr:nvSpPr>
        <xdr:spPr bwMode="auto">
          <a:xfrm>
            <a:off x="3316092" y="267236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8" name="Oval 47">
            <a:extLst>
              <a:ext uri="{FF2B5EF4-FFF2-40B4-BE49-F238E27FC236}">
                <a16:creationId xmlns:a16="http://schemas.microsoft.com/office/drawing/2014/main" id="{00000000-0008-0000-0C00-000030000000}"/>
              </a:ext>
            </a:extLst>
          </xdr:cNvPr>
          <xdr:cNvSpPr/>
        </xdr:nvSpPr>
        <xdr:spPr bwMode="auto">
          <a:xfrm>
            <a:off x="3087491" y="172748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49" name="Oval 48">
            <a:extLst>
              <a:ext uri="{FF2B5EF4-FFF2-40B4-BE49-F238E27FC236}">
                <a16:creationId xmlns:a16="http://schemas.microsoft.com/office/drawing/2014/main" id="{00000000-0008-0000-0C00-000031000000}"/>
              </a:ext>
            </a:extLst>
          </xdr:cNvPr>
          <xdr:cNvSpPr/>
        </xdr:nvSpPr>
        <xdr:spPr bwMode="auto">
          <a:xfrm>
            <a:off x="3239891" y="172748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0" name="Oval 49">
            <a:extLst>
              <a:ext uri="{FF2B5EF4-FFF2-40B4-BE49-F238E27FC236}">
                <a16:creationId xmlns:a16="http://schemas.microsoft.com/office/drawing/2014/main" id="{00000000-0008-0000-0C00-000032000000}"/>
              </a:ext>
            </a:extLst>
          </xdr:cNvPr>
          <xdr:cNvSpPr/>
        </xdr:nvSpPr>
        <xdr:spPr bwMode="auto">
          <a:xfrm>
            <a:off x="3422772" y="172748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1" name="Oval 50">
            <a:extLst>
              <a:ext uri="{FF2B5EF4-FFF2-40B4-BE49-F238E27FC236}">
                <a16:creationId xmlns:a16="http://schemas.microsoft.com/office/drawing/2014/main" id="{00000000-0008-0000-0C00-000033000000}"/>
              </a:ext>
            </a:extLst>
          </xdr:cNvPr>
          <xdr:cNvSpPr/>
        </xdr:nvSpPr>
        <xdr:spPr bwMode="auto">
          <a:xfrm>
            <a:off x="3727571" y="431828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2" name="Oval 51">
            <a:extLst>
              <a:ext uri="{FF2B5EF4-FFF2-40B4-BE49-F238E27FC236}">
                <a16:creationId xmlns:a16="http://schemas.microsoft.com/office/drawing/2014/main" id="{00000000-0008-0000-0C00-000034000000}"/>
              </a:ext>
            </a:extLst>
          </xdr:cNvPr>
          <xdr:cNvSpPr/>
        </xdr:nvSpPr>
        <xdr:spPr bwMode="auto">
          <a:xfrm>
            <a:off x="4042367" y="1717368"/>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3" name="Oval 52">
            <a:extLst>
              <a:ext uri="{FF2B5EF4-FFF2-40B4-BE49-F238E27FC236}">
                <a16:creationId xmlns:a16="http://schemas.microsoft.com/office/drawing/2014/main" id="{00000000-0008-0000-0C00-000035000000}"/>
              </a:ext>
            </a:extLst>
          </xdr:cNvPr>
          <xdr:cNvSpPr/>
        </xdr:nvSpPr>
        <xdr:spPr bwMode="auto">
          <a:xfrm>
            <a:off x="4118568" y="266224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4" name="Oval 53">
            <a:extLst>
              <a:ext uri="{FF2B5EF4-FFF2-40B4-BE49-F238E27FC236}">
                <a16:creationId xmlns:a16="http://schemas.microsoft.com/office/drawing/2014/main" id="{00000000-0008-0000-0C00-000036000000}"/>
              </a:ext>
            </a:extLst>
          </xdr:cNvPr>
          <xdr:cNvSpPr/>
        </xdr:nvSpPr>
        <xdr:spPr bwMode="auto">
          <a:xfrm>
            <a:off x="4194767" y="1717368"/>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5" name="Oval 54">
            <a:extLst>
              <a:ext uri="{FF2B5EF4-FFF2-40B4-BE49-F238E27FC236}">
                <a16:creationId xmlns:a16="http://schemas.microsoft.com/office/drawing/2014/main" id="{00000000-0008-0000-0C00-000037000000}"/>
              </a:ext>
            </a:extLst>
          </xdr:cNvPr>
          <xdr:cNvSpPr/>
        </xdr:nvSpPr>
        <xdr:spPr bwMode="auto">
          <a:xfrm>
            <a:off x="4469087" y="1717368"/>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6" name="Oval 55">
            <a:extLst>
              <a:ext uri="{FF2B5EF4-FFF2-40B4-BE49-F238E27FC236}">
                <a16:creationId xmlns:a16="http://schemas.microsoft.com/office/drawing/2014/main" id="{00000000-0008-0000-0C00-000038000000}"/>
              </a:ext>
            </a:extLst>
          </xdr:cNvPr>
          <xdr:cNvSpPr/>
        </xdr:nvSpPr>
        <xdr:spPr bwMode="auto">
          <a:xfrm>
            <a:off x="4316687" y="362236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7" name="Oval 56">
            <a:extLst>
              <a:ext uri="{FF2B5EF4-FFF2-40B4-BE49-F238E27FC236}">
                <a16:creationId xmlns:a16="http://schemas.microsoft.com/office/drawing/2014/main" id="{00000000-0008-0000-0C00-000039000000}"/>
              </a:ext>
            </a:extLst>
          </xdr:cNvPr>
          <xdr:cNvSpPr/>
        </xdr:nvSpPr>
        <xdr:spPr bwMode="auto">
          <a:xfrm>
            <a:off x="4545288" y="2860369"/>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8" name="Oval 57">
            <a:extLst>
              <a:ext uri="{FF2B5EF4-FFF2-40B4-BE49-F238E27FC236}">
                <a16:creationId xmlns:a16="http://schemas.microsoft.com/office/drawing/2014/main" id="{00000000-0008-0000-0C00-00003A000000}"/>
              </a:ext>
            </a:extLst>
          </xdr:cNvPr>
          <xdr:cNvSpPr/>
        </xdr:nvSpPr>
        <xdr:spPr bwMode="auto">
          <a:xfrm>
            <a:off x="5032968" y="4338648"/>
            <a:ext cx="304800" cy="22859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59" name="Oval 58">
            <a:extLst>
              <a:ext uri="{FF2B5EF4-FFF2-40B4-BE49-F238E27FC236}">
                <a16:creationId xmlns:a16="http://schemas.microsoft.com/office/drawing/2014/main" id="{00000000-0008-0000-0C00-00003B000000}"/>
              </a:ext>
            </a:extLst>
          </xdr:cNvPr>
          <xdr:cNvSpPr/>
        </xdr:nvSpPr>
        <xdr:spPr bwMode="auto">
          <a:xfrm>
            <a:off x="5688288" y="167164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0" name="Oval 59">
            <a:extLst>
              <a:ext uri="{FF2B5EF4-FFF2-40B4-BE49-F238E27FC236}">
                <a16:creationId xmlns:a16="http://schemas.microsoft.com/office/drawing/2014/main" id="{00000000-0008-0000-0C00-00003C000000}"/>
              </a:ext>
            </a:extLst>
          </xdr:cNvPr>
          <xdr:cNvSpPr/>
        </xdr:nvSpPr>
        <xdr:spPr bwMode="auto">
          <a:xfrm>
            <a:off x="6252167" y="388144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1" name="Oval 60">
            <a:extLst>
              <a:ext uri="{FF2B5EF4-FFF2-40B4-BE49-F238E27FC236}">
                <a16:creationId xmlns:a16="http://schemas.microsoft.com/office/drawing/2014/main" id="{00000000-0008-0000-0C00-00003D000000}"/>
              </a:ext>
            </a:extLst>
          </xdr:cNvPr>
          <xdr:cNvSpPr/>
        </xdr:nvSpPr>
        <xdr:spPr bwMode="auto">
          <a:xfrm>
            <a:off x="6480768" y="264188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2" name="Oval 61">
            <a:extLst>
              <a:ext uri="{FF2B5EF4-FFF2-40B4-BE49-F238E27FC236}">
                <a16:creationId xmlns:a16="http://schemas.microsoft.com/office/drawing/2014/main" id="{00000000-0008-0000-0C00-00003E000000}"/>
              </a:ext>
            </a:extLst>
          </xdr:cNvPr>
          <xdr:cNvSpPr/>
        </xdr:nvSpPr>
        <xdr:spPr bwMode="auto">
          <a:xfrm>
            <a:off x="6556967" y="305336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3" name="Oval 62">
            <a:extLst>
              <a:ext uri="{FF2B5EF4-FFF2-40B4-BE49-F238E27FC236}">
                <a16:creationId xmlns:a16="http://schemas.microsoft.com/office/drawing/2014/main" id="{00000000-0008-0000-0C00-00003F000000}"/>
              </a:ext>
            </a:extLst>
          </xdr:cNvPr>
          <xdr:cNvSpPr/>
        </xdr:nvSpPr>
        <xdr:spPr bwMode="auto">
          <a:xfrm>
            <a:off x="6633168" y="206276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4" name="Oval 63">
            <a:extLst>
              <a:ext uri="{FF2B5EF4-FFF2-40B4-BE49-F238E27FC236}">
                <a16:creationId xmlns:a16="http://schemas.microsoft.com/office/drawing/2014/main" id="{00000000-0008-0000-0C00-000040000000}"/>
              </a:ext>
            </a:extLst>
          </xdr:cNvPr>
          <xdr:cNvSpPr/>
        </xdr:nvSpPr>
        <xdr:spPr bwMode="auto">
          <a:xfrm>
            <a:off x="6755088" y="294668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5" name="Oval 64">
            <a:extLst>
              <a:ext uri="{FF2B5EF4-FFF2-40B4-BE49-F238E27FC236}">
                <a16:creationId xmlns:a16="http://schemas.microsoft.com/office/drawing/2014/main" id="{00000000-0008-0000-0C00-000041000000}"/>
              </a:ext>
            </a:extLst>
          </xdr:cNvPr>
          <xdr:cNvSpPr/>
        </xdr:nvSpPr>
        <xdr:spPr bwMode="auto">
          <a:xfrm>
            <a:off x="6831287" y="165128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6" name="Oval 65">
            <a:extLst>
              <a:ext uri="{FF2B5EF4-FFF2-40B4-BE49-F238E27FC236}">
                <a16:creationId xmlns:a16="http://schemas.microsoft.com/office/drawing/2014/main" id="{00000000-0008-0000-0C00-000042000000}"/>
              </a:ext>
            </a:extLst>
          </xdr:cNvPr>
          <xdr:cNvSpPr/>
        </xdr:nvSpPr>
        <xdr:spPr bwMode="auto">
          <a:xfrm>
            <a:off x="6937968" y="264188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7" name="Oval 66">
            <a:extLst>
              <a:ext uri="{FF2B5EF4-FFF2-40B4-BE49-F238E27FC236}">
                <a16:creationId xmlns:a16="http://schemas.microsoft.com/office/drawing/2014/main" id="{00000000-0008-0000-0C00-000043000000}"/>
              </a:ext>
            </a:extLst>
          </xdr:cNvPr>
          <xdr:cNvSpPr/>
        </xdr:nvSpPr>
        <xdr:spPr bwMode="auto">
          <a:xfrm>
            <a:off x="7014167" y="168176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8" name="Oval 67">
            <a:extLst>
              <a:ext uri="{FF2B5EF4-FFF2-40B4-BE49-F238E27FC236}">
                <a16:creationId xmlns:a16="http://schemas.microsoft.com/office/drawing/2014/main" id="{00000000-0008-0000-0C00-000044000000}"/>
              </a:ext>
            </a:extLst>
          </xdr:cNvPr>
          <xdr:cNvSpPr/>
        </xdr:nvSpPr>
        <xdr:spPr bwMode="auto">
          <a:xfrm>
            <a:off x="7136089" y="264188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69" name="Oval 68">
            <a:extLst>
              <a:ext uri="{FF2B5EF4-FFF2-40B4-BE49-F238E27FC236}">
                <a16:creationId xmlns:a16="http://schemas.microsoft.com/office/drawing/2014/main" id="{00000000-0008-0000-0C00-000045000000}"/>
              </a:ext>
            </a:extLst>
          </xdr:cNvPr>
          <xdr:cNvSpPr/>
        </xdr:nvSpPr>
        <xdr:spPr bwMode="auto">
          <a:xfrm>
            <a:off x="7212288" y="1681766"/>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0" name="Oval 69">
            <a:extLst>
              <a:ext uri="{FF2B5EF4-FFF2-40B4-BE49-F238E27FC236}">
                <a16:creationId xmlns:a16="http://schemas.microsoft.com/office/drawing/2014/main" id="{00000000-0008-0000-0C00-000046000000}"/>
              </a:ext>
            </a:extLst>
          </xdr:cNvPr>
          <xdr:cNvSpPr/>
        </xdr:nvSpPr>
        <xdr:spPr bwMode="auto">
          <a:xfrm>
            <a:off x="7395168" y="305336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1" name="Oval 70">
            <a:extLst>
              <a:ext uri="{FF2B5EF4-FFF2-40B4-BE49-F238E27FC236}">
                <a16:creationId xmlns:a16="http://schemas.microsoft.com/office/drawing/2014/main" id="{00000000-0008-0000-0C00-000047000000}"/>
              </a:ext>
            </a:extLst>
          </xdr:cNvPr>
          <xdr:cNvSpPr/>
        </xdr:nvSpPr>
        <xdr:spPr bwMode="auto">
          <a:xfrm>
            <a:off x="7623767" y="172748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2" name="Oval 71">
            <a:extLst>
              <a:ext uri="{FF2B5EF4-FFF2-40B4-BE49-F238E27FC236}">
                <a16:creationId xmlns:a16="http://schemas.microsoft.com/office/drawing/2014/main" id="{00000000-0008-0000-0C00-000048000000}"/>
              </a:ext>
            </a:extLst>
          </xdr:cNvPr>
          <xdr:cNvSpPr/>
        </xdr:nvSpPr>
        <xdr:spPr bwMode="auto">
          <a:xfrm>
            <a:off x="7776167" y="2748567"/>
            <a:ext cx="381001" cy="22859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3" name="Oval 72">
            <a:extLst>
              <a:ext uri="{FF2B5EF4-FFF2-40B4-BE49-F238E27FC236}">
                <a16:creationId xmlns:a16="http://schemas.microsoft.com/office/drawing/2014/main" id="{00000000-0008-0000-0C00-000049000000}"/>
              </a:ext>
            </a:extLst>
          </xdr:cNvPr>
          <xdr:cNvSpPr/>
        </xdr:nvSpPr>
        <xdr:spPr bwMode="auto">
          <a:xfrm>
            <a:off x="4728168" y="2479368"/>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4" name="Oval 73">
            <a:extLst>
              <a:ext uri="{FF2B5EF4-FFF2-40B4-BE49-F238E27FC236}">
                <a16:creationId xmlns:a16="http://schemas.microsoft.com/office/drawing/2014/main" id="{00000000-0008-0000-0C00-00004A000000}"/>
              </a:ext>
            </a:extLst>
          </xdr:cNvPr>
          <xdr:cNvSpPr/>
        </xdr:nvSpPr>
        <xdr:spPr bwMode="auto">
          <a:xfrm>
            <a:off x="8050488" y="2138967"/>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5" name="Oval 74">
            <a:extLst>
              <a:ext uri="{FF2B5EF4-FFF2-40B4-BE49-F238E27FC236}">
                <a16:creationId xmlns:a16="http://schemas.microsoft.com/office/drawing/2014/main" id="{00000000-0008-0000-0C00-00004B000000}"/>
              </a:ext>
            </a:extLst>
          </xdr:cNvPr>
          <xdr:cNvSpPr/>
        </xdr:nvSpPr>
        <xdr:spPr bwMode="auto">
          <a:xfrm>
            <a:off x="8157168" y="3510568"/>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6" name="Oval 75">
            <a:extLst>
              <a:ext uri="{FF2B5EF4-FFF2-40B4-BE49-F238E27FC236}">
                <a16:creationId xmlns:a16="http://schemas.microsoft.com/office/drawing/2014/main" id="{00000000-0008-0000-0C00-00004C000000}"/>
              </a:ext>
            </a:extLst>
          </xdr:cNvPr>
          <xdr:cNvSpPr/>
        </xdr:nvSpPr>
        <xdr:spPr bwMode="auto">
          <a:xfrm>
            <a:off x="8355288" y="1224568"/>
            <a:ext cx="182880" cy="182879"/>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77" name="Text Box 1411">
            <a:extLst>
              <a:ext uri="{FF2B5EF4-FFF2-40B4-BE49-F238E27FC236}">
                <a16:creationId xmlns:a16="http://schemas.microsoft.com/office/drawing/2014/main" id="{00000000-0008-0000-0C00-00004D000000}"/>
              </a:ext>
            </a:extLst>
          </xdr:cNvPr>
          <xdr:cNvSpPr txBox="1">
            <a:spLocks noChangeArrowheads="1"/>
          </xdr:cNvSpPr>
        </xdr:nvSpPr>
        <xdr:spPr bwMode="auto">
          <a:xfrm>
            <a:off x="3160176" y="4917606"/>
            <a:ext cx="869133" cy="384968"/>
          </a:xfrm>
          <a:prstGeom prst="rect">
            <a:avLst/>
          </a:prstGeom>
          <a:solidFill>
            <a:schemeClr val="bg1">
              <a:alpha val="75000"/>
            </a:schemeClr>
          </a:solidFill>
          <a:ln w="12700">
            <a:solidFill>
              <a:srgbClr val="FF0000"/>
            </a:solidFill>
            <a:miter lim="800000"/>
            <a:headEnd/>
            <a:tailEnd/>
          </a:ln>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r>
              <a:rPr lang="en-US" sz="800" b="1">
                <a:solidFill>
                  <a:srgbClr val="FF3300"/>
                </a:solidFill>
              </a:rPr>
              <a:t>&lt; 1 ft</a:t>
            </a:r>
            <a:endParaRPr lang="en-US" sz="800" b="1">
              <a:solidFill>
                <a:srgbClr val="FF3300"/>
              </a:solidFill>
              <a:latin typeface="Arial" charset="0"/>
            </a:endParaRPr>
          </a:p>
        </xdr:txBody>
      </xdr:sp>
      <xdr:cxnSp macro="">
        <xdr:nvCxnSpPr>
          <xdr:cNvPr id="78" name="Straight Arrow Connector 77">
            <a:extLst>
              <a:ext uri="{FF2B5EF4-FFF2-40B4-BE49-F238E27FC236}">
                <a16:creationId xmlns:a16="http://schemas.microsoft.com/office/drawing/2014/main" id="{00000000-0008-0000-0C00-00004E000000}"/>
              </a:ext>
            </a:extLst>
          </xdr:cNvPr>
          <xdr:cNvCxnSpPr>
            <a:stCxn id="77" idx="1"/>
          </xdr:cNvCxnSpPr>
        </xdr:nvCxnSpPr>
        <xdr:spPr bwMode="auto">
          <a:xfrm flipH="1" flipV="1">
            <a:off x="2879737" y="4675172"/>
            <a:ext cx="280439" cy="434918"/>
          </a:xfrm>
          <a:prstGeom prst="straightConnector1">
            <a:avLst/>
          </a:prstGeom>
          <a:solidFill>
            <a:schemeClr val="accent1"/>
          </a:solidFill>
          <a:ln w="12700" cap="flat" cmpd="sng" algn="ctr">
            <a:solidFill>
              <a:srgbClr val="FF0000"/>
            </a:solidFill>
            <a:prstDash val="solid"/>
            <a:round/>
            <a:headEnd type="none" w="med" len="med"/>
            <a:tailEnd type="arrow"/>
          </a:ln>
          <a:effectLst/>
        </xdr:spPr>
      </xdr:cxnSp>
    </xdr:grpSp>
    <xdr:clientData/>
  </xdr:twoCellAnchor>
  <xdr:twoCellAnchor>
    <xdr:from>
      <xdr:col>15</xdr:col>
      <xdr:colOff>154338</xdr:colOff>
      <xdr:row>116</xdr:row>
      <xdr:rowOff>18031</xdr:rowOff>
    </xdr:from>
    <xdr:to>
      <xdr:col>15</xdr:col>
      <xdr:colOff>590210</xdr:colOff>
      <xdr:row>117</xdr:row>
      <xdr:rowOff>48325</xdr:rowOff>
    </xdr:to>
    <xdr:sp macro="" textlink="">
      <xdr:nvSpPr>
        <xdr:cNvPr id="100" name="Text Box 1411">
          <a:extLst>
            <a:ext uri="{FF2B5EF4-FFF2-40B4-BE49-F238E27FC236}">
              <a16:creationId xmlns:a16="http://schemas.microsoft.com/office/drawing/2014/main" id="{00000000-0008-0000-0C00-000064000000}"/>
            </a:ext>
          </a:extLst>
        </xdr:cNvPr>
        <xdr:cNvSpPr txBox="1">
          <a:spLocks noChangeArrowheads="1"/>
        </xdr:cNvSpPr>
      </xdr:nvSpPr>
      <xdr:spPr bwMode="auto">
        <a:xfrm>
          <a:off x="8294550" y="21529877"/>
          <a:ext cx="435872" cy="191486"/>
        </a:xfrm>
        <a:prstGeom prst="rect">
          <a:avLst/>
        </a:prstGeom>
        <a:solidFill>
          <a:schemeClr val="bg1">
            <a:alpha val="75000"/>
          </a:schemeClr>
        </a:solidFill>
        <a:ln w="12700">
          <a:solidFill>
            <a:srgbClr val="FF0000"/>
          </a:solidFill>
          <a:miter lim="800000"/>
          <a:headEnd/>
          <a:tailEnd/>
        </a:ln>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r>
            <a:rPr lang="en-US" sz="800" b="1">
              <a:solidFill>
                <a:srgbClr val="FF3300"/>
              </a:solidFill>
            </a:rPr>
            <a:t>&lt; 1 ft</a:t>
          </a:r>
          <a:endParaRPr lang="en-US" sz="800" b="1">
            <a:solidFill>
              <a:srgbClr val="FF3300"/>
            </a:solidFill>
            <a:latin typeface="Arial" charset="0"/>
          </a:endParaRPr>
        </a:p>
      </xdr:txBody>
    </xdr:sp>
    <xdr:clientData/>
  </xdr:twoCellAnchor>
  <xdr:twoCellAnchor>
    <xdr:from>
      <xdr:col>14</xdr:col>
      <xdr:colOff>593481</xdr:colOff>
      <xdr:row>116</xdr:row>
      <xdr:rowOff>0</xdr:rowOff>
    </xdr:from>
    <xdr:to>
      <xdr:col>15</xdr:col>
      <xdr:colOff>154338</xdr:colOff>
      <xdr:row>116</xdr:row>
      <xdr:rowOff>113774</xdr:rowOff>
    </xdr:to>
    <xdr:cxnSp macro="">
      <xdr:nvCxnSpPr>
        <xdr:cNvPr id="101" name="Straight Arrow Connector 100">
          <a:extLst>
            <a:ext uri="{FF2B5EF4-FFF2-40B4-BE49-F238E27FC236}">
              <a16:creationId xmlns:a16="http://schemas.microsoft.com/office/drawing/2014/main" id="{00000000-0008-0000-0C00-000065000000}"/>
            </a:ext>
          </a:extLst>
        </xdr:cNvPr>
        <xdr:cNvCxnSpPr>
          <a:stCxn id="100" idx="1"/>
        </xdr:cNvCxnSpPr>
      </xdr:nvCxnSpPr>
      <xdr:spPr bwMode="auto">
        <a:xfrm flipH="1" flipV="1">
          <a:off x="8125558" y="21511846"/>
          <a:ext cx="168992" cy="113774"/>
        </a:xfrm>
        <a:prstGeom prst="straightConnector1">
          <a:avLst/>
        </a:prstGeom>
        <a:solidFill>
          <a:schemeClr val="accent1"/>
        </a:solidFill>
        <a:ln w="12700" cap="flat" cmpd="sng" algn="ctr">
          <a:solidFill>
            <a:srgbClr val="FF0000"/>
          </a:solidFill>
          <a:prstDash val="solid"/>
          <a:round/>
          <a:headEnd type="none" w="med" len="med"/>
          <a:tailEnd type="arrow"/>
        </a:ln>
        <a:effectLst/>
      </xdr:spPr>
    </xdr:cxnSp>
    <xdr:clientData/>
  </xdr:twoCellAnchor>
  <xdr:twoCellAnchor>
    <xdr:from>
      <xdr:col>14</xdr:col>
      <xdr:colOff>240410</xdr:colOff>
      <xdr:row>109</xdr:row>
      <xdr:rowOff>7310</xdr:rowOff>
    </xdr:from>
    <xdr:to>
      <xdr:col>15</xdr:col>
      <xdr:colOff>64677</xdr:colOff>
      <xdr:row>110</xdr:row>
      <xdr:rowOff>37604</xdr:rowOff>
    </xdr:to>
    <xdr:sp macro="" textlink="">
      <xdr:nvSpPr>
        <xdr:cNvPr id="102" name="Text Box 1411">
          <a:extLst>
            <a:ext uri="{FF2B5EF4-FFF2-40B4-BE49-F238E27FC236}">
              <a16:creationId xmlns:a16="http://schemas.microsoft.com/office/drawing/2014/main" id="{00000000-0008-0000-0C00-000066000000}"/>
            </a:ext>
          </a:extLst>
        </xdr:cNvPr>
        <xdr:cNvSpPr txBox="1">
          <a:spLocks noChangeArrowheads="1"/>
        </xdr:cNvSpPr>
      </xdr:nvSpPr>
      <xdr:spPr bwMode="auto">
        <a:xfrm>
          <a:off x="7800252" y="20325639"/>
          <a:ext cx="435872" cy="190715"/>
        </a:xfrm>
        <a:prstGeom prst="rect">
          <a:avLst/>
        </a:prstGeom>
        <a:solidFill>
          <a:schemeClr val="bg1">
            <a:alpha val="75000"/>
          </a:schemeClr>
        </a:solidFill>
        <a:ln w="12700">
          <a:solidFill>
            <a:srgbClr val="FF0000"/>
          </a:solidFill>
          <a:miter lim="800000"/>
          <a:headEnd/>
          <a:tailEnd/>
        </a:ln>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r>
            <a:rPr lang="en-US" sz="800" b="1">
              <a:solidFill>
                <a:srgbClr val="FF3300"/>
              </a:solidFill>
            </a:rPr>
            <a:t>&lt; 1 ft</a:t>
          </a:r>
          <a:endParaRPr lang="en-US" sz="800" b="1">
            <a:solidFill>
              <a:srgbClr val="FF3300"/>
            </a:solidFill>
            <a:latin typeface="Arial" charset="0"/>
          </a:endParaRPr>
        </a:p>
      </xdr:txBody>
    </xdr:sp>
    <xdr:clientData/>
  </xdr:twoCellAnchor>
  <xdr:twoCellAnchor>
    <xdr:from>
      <xdr:col>14</xdr:col>
      <xdr:colOff>458346</xdr:colOff>
      <xdr:row>110</xdr:row>
      <xdr:rowOff>37604</xdr:rowOff>
    </xdr:from>
    <xdr:to>
      <xdr:col>15</xdr:col>
      <xdr:colOff>240632</xdr:colOff>
      <xdr:row>110</xdr:row>
      <xdr:rowOff>145382</xdr:rowOff>
    </xdr:to>
    <xdr:cxnSp macro="">
      <xdr:nvCxnSpPr>
        <xdr:cNvPr id="103" name="Straight Arrow Connector 102">
          <a:extLst>
            <a:ext uri="{FF2B5EF4-FFF2-40B4-BE49-F238E27FC236}">
              <a16:creationId xmlns:a16="http://schemas.microsoft.com/office/drawing/2014/main" id="{00000000-0008-0000-0C00-000067000000}"/>
            </a:ext>
          </a:extLst>
        </xdr:cNvPr>
        <xdr:cNvCxnSpPr>
          <a:stCxn id="102" idx="2"/>
        </xdr:cNvCxnSpPr>
      </xdr:nvCxnSpPr>
      <xdr:spPr bwMode="auto">
        <a:xfrm>
          <a:off x="8018188" y="20516354"/>
          <a:ext cx="393891" cy="107778"/>
        </a:xfrm>
        <a:prstGeom prst="straightConnector1">
          <a:avLst/>
        </a:prstGeom>
        <a:solidFill>
          <a:schemeClr val="accent1"/>
        </a:solidFill>
        <a:ln w="12700" cap="flat" cmpd="sng" algn="ctr">
          <a:solidFill>
            <a:srgbClr val="FF0000"/>
          </a:solidFill>
          <a:prstDash val="solid"/>
          <a:round/>
          <a:headEnd type="none" w="med" len="med"/>
          <a:tailEnd type="arrow"/>
        </a:ln>
        <a:effectLst/>
      </xdr:spPr>
    </xdr:cxnSp>
    <xdr:clientData/>
  </xdr:twoCellAnchor>
  <xdr:twoCellAnchor>
    <xdr:from>
      <xdr:col>16</xdr:col>
      <xdr:colOff>297559</xdr:colOff>
      <xdr:row>106</xdr:row>
      <xdr:rowOff>89525</xdr:rowOff>
    </xdr:from>
    <xdr:to>
      <xdr:col>17</xdr:col>
      <xdr:colOff>46629</xdr:colOff>
      <xdr:row>107</xdr:row>
      <xdr:rowOff>119819</xdr:rowOff>
    </xdr:to>
    <xdr:sp macro="" textlink="">
      <xdr:nvSpPr>
        <xdr:cNvPr id="107" name="Text Box 1411">
          <a:extLst>
            <a:ext uri="{FF2B5EF4-FFF2-40B4-BE49-F238E27FC236}">
              <a16:creationId xmlns:a16="http://schemas.microsoft.com/office/drawing/2014/main" id="{00000000-0008-0000-0C00-00006B000000}"/>
            </a:ext>
          </a:extLst>
        </xdr:cNvPr>
        <xdr:cNvSpPr txBox="1">
          <a:spLocks noChangeArrowheads="1"/>
        </xdr:cNvSpPr>
      </xdr:nvSpPr>
      <xdr:spPr bwMode="auto">
        <a:xfrm>
          <a:off x="9080612" y="19926591"/>
          <a:ext cx="435872" cy="190715"/>
        </a:xfrm>
        <a:prstGeom prst="rect">
          <a:avLst/>
        </a:prstGeom>
        <a:solidFill>
          <a:schemeClr val="bg1">
            <a:alpha val="75000"/>
          </a:schemeClr>
        </a:solidFill>
        <a:ln w="12700">
          <a:solidFill>
            <a:srgbClr val="FF0000"/>
          </a:solidFill>
          <a:miter lim="800000"/>
          <a:headEnd/>
          <a:tailEnd/>
        </a:ln>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r>
            <a:rPr lang="en-US" sz="800" b="1">
              <a:solidFill>
                <a:srgbClr val="FF3300"/>
              </a:solidFill>
            </a:rPr>
            <a:t>&lt; 1 ft</a:t>
          </a:r>
          <a:endParaRPr lang="en-US" sz="800" b="1">
            <a:solidFill>
              <a:srgbClr val="FF3300"/>
            </a:solidFill>
            <a:latin typeface="Arial" charset="0"/>
          </a:endParaRPr>
        </a:p>
      </xdr:txBody>
    </xdr:sp>
    <xdr:clientData/>
  </xdr:twoCellAnchor>
  <xdr:twoCellAnchor>
    <xdr:from>
      <xdr:col>16</xdr:col>
      <xdr:colOff>515495</xdr:colOff>
      <xdr:row>107</xdr:row>
      <xdr:rowOff>119819</xdr:rowOff>
    </xdr:from>
    <xdr:to>
      <xdr:col>17</xdr:col>
      <xdr:colOff>120316</xdr:colOff>
      <xdr:row>109</xdr:row>
      <xdr:rowOff>40105</xdr:rowOff>
    </xdr:to>
    <xdr:cxnSp macro="">
      <xdr:nvCxnSpPr>
        <xdr:cNvPr id="108" name="Straight Arrow Connector 107">
          <a:extLst>
            <a:ext uri="{FF2B5EF4-FFF2-40B4-BE49-F238E27FC236}">
              <a16:creationId xmlns:a16="http://schemas.microsoft.com/office/drawing/2014/main" id="{00000000-0008-0000-0C00-00006C000000}"/>
            </a:ext>
          </a:extLst>
        </xdr:cNvPr>
        <xdr:cNvCxnSpPr>
          <a:stCxn id="107" idx="2"/>
        </xdr:cNvCxnSpPr>
      </xdr:nvCxnSpPr>
      <xdr:spPr bwMode="auto">
        <a:xfrm>
          <a:off x="9298548" y="20117306"/>
          <a:ext cx="291623" cy="241128"/>
        </a:xfrm>
        <a:prstGeom prst="straightConnector1">
          <a:avLst/>
        </a:prstGeom>
        <a:solidFill>
          <a:schemeClr val="accent1"/>
        </a:solidFill>
        <a:ln w="12700" cap="flat" cmpd="sng" algn="ctr">
          <a:solidFill>
            <a:srgbClr val="FF0000"/>
          </a:solidFill>
          <a:prstDash val="solid"/>
          <a:round/>
          <a:headEnd type="none" w="med" len="med"/>
          <a:tailEnd type="arrow"/>
        </a:ln>
        <a:effectLst/>
      </xdr:spPr>
    </xdr:cxnSp>
    <xdr:clientData/>
  </xdr:twoCellAnchor>
  <xdr:twoCellAnchor>
    <xdr:from>
      <xdr:col>17</xdr:col>
      <xdr:colOff>46629</xdr:colOff>
      <xdr:row>107</xdr:row>
      <xdr:rowOff>24076</xdr:rowOff>
    </xdr:from>
    <xdr:to>
      <xdr:col>17</xdr:col>
      <xdr:colOff>249115</xdr:colOff>
      <xdr:row>109</xdr:row>
      <xdr:rowOff>58615</xdr:rowOff>
    </xdr:to>
    <xdr:cxnSp macro="">
      <xdr:nvCxnSpPr>
        <xdr:cNvPr id="111" name="Straight Arrow Connector 110">
          <a:extLst>
            <a:ext uri="{FF2B5EF4-FFF2-40B4-BE49-F238E27FC236}">
              <a16:creationId xmlns:a16="http://schemas.microsoft.com/office/drawing/2014/main" id="{00000000-0008-0000-0C00-00006F000000}"/>
            </a:ext>
          </a:extLst>
        </xdr:cNvPr>
        <xdr:cNvCxnSpPr>
          <a:stCxn id="107" idx="3"/>
        </xdr:cNvCxnSpPr>
      </xdr:nvCxnSpPr>
      <xdr:spPr bwMode="auto">
        <a:xfrm>
          <a:off x="9483706" y="20085191"/>
          <a:ext cx="202486" cy="356924"/>
        </a:xfrm>
        <a:prstGeom prst="straightConnector1">
          <a:avLst/>
        </a:prstGeom>
        <a:solidFill>
          <a:schemeClr val="accent1"/>
        </a:solidFill>
        <a:ln w="12700" cap="flat" cmpd="sng" algn="ctr">
          <a:solidFill>
            <a:srgbClr val="FF0000"/>
          </a:solidFill>
          <a:prstDash val="solid"/>
          <a:round/>
          <a:headEnd type="none" w="med" len="med"/>
          <a:tailEnd type="arrow"/>
        </a:ln>
        <a:effectLst/>
      </xdr:spPr>
    </xdr:cxnSp>
    <xdr:clientData/>
  </xdr:twoCellAnchor>
  <xdr:twoCellAnchor>
    <xdr:from>
      <xdr:col>2</xdr:col>
      <xdr:colOff>9</xdr:colOff>
      <xdr:row>129</xdr:row>
      <xdr:rowOff>11</xdr:rowOff>
    </xdr:from>
    <xdr:to>
      <xdr:col>9</xdr:col>
      <xdr:colOff>539005</xdr:colOff>
      <xdr:row>149</xdr:row>
      <xdr:rowOff>51323</xdr:rowOff>
    </xdr:to>
    <xdr:grpSp>
      <xdr:nvGrpSpPr>
        <xdr:cNvPr id="127" name="Group 126">
          <a:extLst>
            <a:ext uri="{FF2B5EF4-FFF2-40B4-BE49-F238E27FC236}">
              <a16:creationId xmlns:a16="http://schemas.microsoft.com/office/drawing/2014/main" id="{00000000-0008-0000-0C00-00007F000000}"/>
            </a:ext>
          </a:extLst>
        </xdr:cNvPr>
        <xdr:cNvGrpSpPr>
          <a:grpSpLocks noChangeAspect="1"/>
        </xdr:cNvGrpSpPr>
      </xdr:nvGrpSpPr>
      <xdr:grpSpPr>
        <a:xfrm>
          <a:off x="228609" y="23717261"/>
          <a:ext cx="4806196" cy="3289812"/>
          <a:chOff x="228604" y="23707731"/>
          <a:chExt cx="8472057" cy="5799069"/>
        </a:xfrm>
      </xdr:grpSpPr>
      <xdr:pic>
        <xdr:nvPicPr>
          <xdr:cNvPr id="124" name="Picture 123">
            <a:extLst>
              <a:ext uri="{FF2B5EF4-FFF2-40B4-BE49-F238E27FC236}">
                <a16:creationId xmlns:a16="http://schemas.microsoft.com/office/drawing/2014/main" id="{00000000-0008-0000-0C00-00007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28604" y="23707731"/>
            <a:ext cx="8472057" cy="5799069"/>
          </a:xfrm>
          <a:prstGeom prst="rect">
            <a:avLst/>
          </a:prstGeom>
          <a:noFill/>
          <a:ln w="9525">
            <a:noFill/>
            <a:miter lim="800000"/>
            <a:headEnd/>
            <a:tailEnd/>
          </a:ln>
        </xdr:spPr>
      </xdr:pic>
      <xdr:sp macro="" textlink="">
        <xdr:nvSpPr>
          <xdr:cNvPr id="83" name="Oval 82">
            <a:extLst>
              <a:ext uri="{FF2B5EF4-FFF2-40B4-BE49-F238E27FC236}">
                <a16:creationId xmlns:a16="http://schemas.microsoft.com/office/drawing/2014/main" id="{00000000-0008-0000-0C00-000053000000}"/>
              </a:ext>
            </a:extLst>
          </xdr:cNvPr>
          <xdr:cNvSpPr>
            <a:spLocks noChangeAspect="1"/>
          </xdr:cNvSpPr>
        </xdr:nvSpPr>
        <xdr:spPr bwMode="auto">
          <a:xfrm>
            <a:off x="1295405" y="264234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84" name="Oval 83">
            <a:extLst>
              <a:ext uri="{FF2B5EF4-FFF2-40B4-BE49-F238E27FC236}">
                <a16:creationId xmlns:a16="http://schemas.microsoft.com/office/drawing/2014/main" id="{00000000-0008-0000-0C00-000054000000}"/>
              </a:ext>
            </a:extLst>
          </xdr:cNvPr>
          <xdr:cNvSpPr>
            <a:spLocks noChangeAspect="1"/>
          </xdr:cNvSpPr>
        </xdr:nvSpPr>
        <xdr:spPr bwMode="auto">
          <a:xfrm>
            <a:off x="1569725" y="282217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85" name="Oval 84">
            <a:extLst>
              <a:ext uri="{FF2B5EF4-FFF2-40B4-BE49-F238E27FC236}">
                <a16:creationId xmlns:a16="http://schemas.microsoft.com/office/drawing/2014/main" id="{00000000-0008-0000-0C00-000055000000}"/>
              </a:ext>
            </a:extLst>
          </xdr:cNvPr>
          <xdr:cNvSpPr>
            <a:spLocks noChangeAspect="1"/>
          </xdr:cNvSpPr>
        </xdr:nvSpPr>
        <xdr:spPr bwMode="auto">
          <a:xfrm>
            <a:off x="1676405" y="266215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87" name="Oval 86">
            <a:extLst>
              <a:ext uri="{FF2B5EF4-FFF2-40B4-BE49-F238E27FC236}">
                <a16:creationId xmlns:a16="http://schemas.microsoft.com/office/drawing/2014/main" id="{00000000-0008-0000-0C00-000057000000}"/>
              </a:ext>
            </a:extLst>
          </xdr:cNvPr>
          <xdr:cNvSpPr>
            <a:spLocks noChangeAspect="1"/>
          </xdr:cNvSpPr>
        </xdr:nvSpPr>
        <xdr:spPr bwMode="auto">
          <a:xfrm>
            <a:off x="1752602" y="274902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88" name="Oval 87">
            <a:extLst>
              <a:ext uri="{FF2B5EF4-FFF2-40B4-BE49-F238E27FC236}">
                <a16:creationId xmlns:a16="http://schemas.microsoft.com/office/drawing/2014/main" id="{00000000-0008-0000-0C00-000058000000}"/>
              </a:ext>
            </a:extLst>
          </xdr:cNvPr>
          <xdr:cNvSpPr>
            <a:spLocks noChangeAspect="1"/>
          </xdr:cNvSpPr>
        </xdr:nvSpPr>
        <xdr:spPr bwMode="auto">
          <a:xfrm>
            <a:off x="2057405" y="262710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89" name="Oval 88">
            <a:extLst>
              <a:ext uri="{FF2B5EF4-FFF2-40B4-BE49-F238E27FC236}">
                <a16:creationId xmlns:a16="http://schemas.microsoft.com/office/drawing/2014/main" id="{00000000-0008-0000-0C00-000059000000}"/>
              </a:ext>
            </a:extLst>
          </xdr:cNvPr>
          <xdr:cNvSpPr>
            <a:spLocks noChangeAspect="1"/>
          </xdr:cNvSpPr>
        </xdr:nvSpPr>
        <xdr:spPr bwMode="auto">
          <a:xfrm>
            <a:off x="2133602" y="269568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0" name="Oval 89">
            <a:extLst>
              <a:ext uri="{FF2B5EF4-FFF2-40B4-BE49-F238E27FC236}">
                <a16:creationId xmlns:a16="http://schemas.microsoft.com/office/drawing/2014/main" id="{00000000-0008-0000-0C00-00005A000000}"/>
              </a:ext>
            </a:extLst>
          </xdr:cNvPr>
          <xdr:cNvSpPr>
            <a:spLocks noChangeAspect="1"/>
          </xdr:cNvSpPr>
        </xdr:nvSpPr>
        <xdr:spPr bwMode="auto">
          <a:xfrm>
            <a:off x="2438405" y="257833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1" name="Oval 90">
            <a:extLst>
              <a:ext uri="{FF2B5EF4-FFF2-40B4-BE49-F238E27FC236}">
                <a16:creationId xmlns:a16="http://schemas.microsoft.com/office/drawing/2014/main" id="{00000000-0008-0000-0C00-00005B000000}"/>
              </a:ext>
            </a:extLst>
          </xdr:cNvPr>
          <xdr:cNvSpPr>
            <a:spLocks noChangeAspect="1"/>
          </xdr:cNvSpPr>
        </xdr:nvSpPr>
        <xdr:spPr bwMode="auto">
          <a:xfrm>
            <a:off x="2895605" y="262405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2" name="Oval 91">
            <a:extLst>
              <a:ext uri="{FF2B5EF4-FFF2-40B4-BE49-F238E27FC236}">
                <a16:creationId xmlns:a16="http://schemas.microsoft.com/office/drawing/2014/main" id="{00000000-0008-0000-0C00-00005C000000}"/>
              </a:ext>
            </a:extLst>
          </xdr:cNvPr>
          <xdr:cNvSpPr>
            <a:spLocks noChangeAspect="1"/>
          </xdr:cNvSpPr>
        </xdr:nvSpPr>
        <xdr:spPr bwMode="auto">
          <a:xfrm>
            <a:off x="2514602" y="268044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3" name="Oval 92">
            <a:extLst>
              <a:ext uri="{FF2B5EF4-FFF2-40B4-BE49-F238E27FC236}">
                <a16:creationId xmlns:a16="http://schemas.microsoft.com/office/drawing/2014/main" id="{00000000-0008-0000-0C00-00005D000000}"/>
              </a:ext>
            </a:extLst>
          </xdr:cNvPr>
          <xdr:cNvSpPr>
            <a:spLocks noChangeAspect="1"/>
          </xdr:cNvSpPr>
        </xdr:nvSpPr>
        <xdr:spPr bwMode="auto">
          <a:xfrm>
            <a:off x="2788925" y="254023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4" name="Oval 93">
            <a:extLst>
              <a:ext uri="{FF2B5EF4-FFF2-40B4-BE49-F238E27FC236}">
                <a16:creationId xmlns:a16="http://schemas.microsoft.com/office/drawing/2014/main" id="{00000000-0008-0000-0C00-00005E000000}"/>
              </a:ext>
            </a:extLst>
          </xdr:cNvPr>
          <xdr:cNvSpPr>
            <a:spLocks noChangeAspect="1"/>
          </xdr:cNvSpPr>
        </xdr:nvSpPr>
        <xdr:spPr bwMode="auto">
          <a:xfrm>
            <a:off x="3124205" y="244879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5" name="Oval 94">
            <a:extLst>
              <a:ext uri="{FF2B5EF4-FFF2-40B4-BE49-F238E27FC236}">
                <a16:creationId xmlns:a16="http://schemas.microsoft.com/office/drawing/2014/main" id="{00000000-0008-0000-0C00-00005F000000}"/>
              </a:ext>
            </a:extLst>
          </xdr:cNvPr>
          <xdr:cNvSpPr>
            <a:spLocks noChangeAspect="1"/>
          </xdr:cNvSpPr>
        </xdr:nvSpPr>
        <xdr:spPr bwMode="auto">
          <a:xfrm>
            <a:off x="3474725" y="250518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6" name="Oval 95">
            <a:extLst>
              <a:ext uri="{FF2B5EF4-FFF2-40B4-BE49-F238E27FC236}">
                <a16:creationId xmlns:a16="http://schemas.microsoft.com/office/drawing/2014/main" id="{00000000-0008-0000-0C00-000060000000}"/>
              </a:ext>
            </a:extLst>
          </xdr:cNvPr>
          <xdr:cNvSpPr>
            <a:spLocks noChangeAspect="1"/>
          </xdr:cNvSpPr>
        </xdr:nvSpPr>
        <xdr:spPr bwMode="auto">
          <a:xfrm>
            <a:off x="3855725" y="255090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7" name="Oval 96">
            <a:extLst>
              <a:ext uri="{FF2B5EF4-FFF2-40B4-BE49-F238E27FC236}">
                <a16:creationId xmlns:a16="http://schemas.microsoft.com/office/drawing/2014/main" id="{00000000-0008-0000-0C00-000061000000}"/>
              </a:ext>
            </a:extLst>
          </xdr:cNvPr>
          <xdr:cNvSpPr>
            <a:spLocks noChangeAspect="1"/>
          </xdr:cNvSpPr>
        </xdr:nvSpPr>
        <xdr:spPr bwMode="auto">
          <a:xfrm>
            <a:off x="4236725" y="257833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8" name="Oval 97">
            <a:extLst>
              <a:ext uri="{FF2B5EF4-FFF2-40B4-BE49-F238E27FC236}">
                <a16:creationId xmlns:a16="http://schemas.microsoft.com/office/drawing/2014/main" id="{00000000-0008-0000-0C00-000062000000}"/>
              </a:ext>
            </a:extLst>
          </xdr:cNvPr>
          <xdr:cNvSpPr>
            <a:spLocks noChangeAspect="1"/>
          </xdr:cNvSpPr>
        </xdr:nvSpPr>
        <xdr:spPr bwMode="auto">
          <a:xfrm>
            <a:off x="3581402" y="265758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99" name="Oval 98">
            <a:extLst>
              <a:ext uri="{FF2B5EF4-FFF2-40B4-BE49-F238E27FC236}">
                <a16:creationId xmlns:a16="http://schemas.microsoft.com/office/drawing/2014/main" id="{00000000-0008-0000-0C00-000063000000}"/>
              </a:ext>
            </a:extLst>
          </xdr:cNvPr>
          <xdr:cNvSpPr>
            <a:spLocks noChangeAspect="1"/>
          </xdr:cNvSpPr>
        </xdr:nvSpPr>
        <xdr:spPr bwMode="auto">
          <a:xfrm>
            <a:off x="3962402" y="269568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04" name="Oval 103">
            <a:extLst>
              <a:ext uri="{FF2B5EF4-FFF2-40B4-BE49-F238E27FC236}">
                <a16:creationId xmlns:a16="http://schemas.microsoft.com/office/drawing/2014/main" id="{00000000-0008-0000-0C00-000068000000}"/>
              </a:ext>
            </a:extLst>
          </xdr:cNvPr>
          <xdr:cNvSpPr>
            <a:spLocks noChangeAspect="1"/>
          </xdr:cNvSpPr>
        </xdr:nvSpPr>
        <xdr:spPr bwMode="auto">
          <a:xfrm>
            <a:off x="4267202" y="273378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05" name="Oval 104">
            <a:extLst>
              <a:ext uri="{FF2B5EF4-FFF2-40B4-BE49-F238E27FC236}">
                <a16:creationId xmlns:a16="http://schemas.microsoft.com/office/drawing/2014/main" id="{00000000-0008-0000-0C00-000069000000}"/>
              </a:ext>
            </a:extLst>
          </xdr:cNvPr>
          <xdr:cNvSpPr>
            <a:spLocks noChangeAspect="1"/>
          </xdr:cNvSpPr>
        </xdr:nvSpPr>
        <xdr:spPr bwMode="auto">
          <a:xfrm>
            <a:off x="3352805" y="261643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06" name="Oval 105">
            <a:extLst>
              <a:ext uri="{FF2B5EF4-FFF2-40B4-BE49-F238E27FC236}">
                <a16:creationId xmlns:a16="http://schemas.microsoft.com/office/drawing/2014/main" id="{00000000-0008-0000-0C00-00006A000000}"/>
              </a:ext>
            </a:extLst>
          </xdr:cNvPr>
          <xdr:cNvSpPr>
            <a:spLocks noChangeAspect="1"/>
          </xdr:cNvSpPr>
        </xdr:nvSpPr>
        <xdr:spPr bwMode="auto">
          <a:xfrm>
            <a:off x="4617724" y="253566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09" name="Oval 108">
            <a:extLst>
              <a:ext uri="{FF2B5EF4-FFF2-40B4-BE49-F238E27FC236}">
                <a16:creationId xmlns:a16="http://schemas.microsoft.com/office/drawing/2014/main" id="{00000000-0008-0000-0C00-00006D000000}"/>
              </a:ext>
            </a:extLst>
          </xdr:cNvPr>
          <xdr:cNvSpPr>
            <a:spLocks noChangeAspect="1"/>
          </xdr:cNvSpPr>
        </xdr:nvSpPr>
        <xdr:spPr bwMode="auto">
          <a:xfrm>
            <a:off x="4770124" y="273073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0" name="Oval 109">
            <a:extLst>
              <a:ext uri="{FF2B5EF4-FFF2-40B4-BE49-F238E27FC236}">
                <a16:creationId xmlns:a16="http://schemas.microsoft.com/office/drawing/2014/main" id="{00000000-0008-0000-0C00-00006E000000}"/>
              </a:ext>
            </a:extLst>
          </xdr:cNvPr>
          <xdr:cNvSpPr>
            <a:spLocks noChangeAspect="1"/>
          </xdr:cNvSpPr>
        </xdr:nvSpPr>
        <xdr:spPr bwMode="auto">
          <a:xfrm>
            <a:off x="5029204" y="246708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2" name="Oval 111">
            <a:extLst>
              <a:ext uri="{FF2B5EF4-FFF2-40B4-BE49-F238E27FC236}">
                <a16:creationId xmlns:a16="http://schemas.microsoft.com/office/drawing/2014/main" id="{00000000-0008-0000-0C00-000070000000}"/>
              </a:ext>
            </a:extLst>
          </xdr:cNvPr>
          <xdr:cNvSpPr>
            <a:spLocks noChangeAspect="1"/>
          </xdr:cNvSpPr>
        </xdr:nvSpPr>
        <xdr:spPr bwMode="auto">
          <a:xfrm>
            <a:off x="5151124" y="257833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3" name="Oval 112">
            <a:extLst>
              <a:ext uri="{FF2B5EF4-FFF2-40B4-BE49-F238E27FC236}">
                <a16:creationId xmlns:a16="http://schemas.microsoft.com/office/drawing/2014/main" id="{00000000-0008-0000-0C00-000071000000}"/>
              </a:ext>
            </a:extLst>
          </xdr:cNvPr>
          <xdr:cNvSpPr>
            <a:spLocks noChangeAspect="1"/>
          </xdr:cNvSpPr>
        </xdr:nvSpPr>
        <xdr:spPr bwMode="auto">
          <a:xfrm>
            <a:off x="5334004" y="243660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4" name="Oval 113">
            <a:extLst>
              <a:ext uri="{FF2B5EF4-FFF2-40B4-BE49-F238E27FC236}">
                <a16:creationId xmlns:a16="http://schemas.microsoft.com/office/drawing/2014/main" id="{00000000-0008-0000-0C00-000072000000}"/>
              </a:ext>
            </a:extLst>
          </xdr:cNvPr>
          <xdr:cNvSpPr>
            <a:spLocks noChangeAspect="1"/>
          </xdr:cNvSpPr>
        </xdr:nvSpPr>
        <xdr:spPr bwMode="auto">
          <a:xfrm>
            <a:off x="5562604" y="258595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5" name="Oval 114">
            <a:extLst>
              <a:ext uri="{FF2B5EF4-FFF2-40B4-BE49-F238E27FC236}">
                <a16:creationId xmlns:a16="http://schemas.microsoft.com/office/drawing/2014/main" id="{00000000-0008-0000-0C00-000073000000}"/>
              </a:ext>
            </a:extLst>
          </xdr:cNvPr>
          <xdr:cNvSpPr>
            <a:spLocks noChangeAspect="1"/>
          </xdr:cNvSpPr>
        </xdr:nvSpPr>
        <xdr:spPr bwMode="auto">
          <a:xfrm>
            <a:off x="5715004" y="248689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6" name="Oval 115">
            <a:extLst>
              <a:ext uri="{FF2B5EF4-FFF2-40B4-BE49-F238E27FC236}">
                <a16:creationId xmlns:a16="http://schemas.microsoft.com/office/drawing/2014/main" id="{00000000-0008-0000-0C00-000074000000}"/>
              </a:ext>
            </a:extLst>
          </xdr:cNvPr>
          <xdr:cNvSpPr>
            <a:spLocks noChangeAspect="1"/>
          </xdr:cNvSpPr>
        </xdr:nvSpPr>
        <xdr:spPr bwMode="auto">
          <a:xfrm>
            <a:off x="6065524" y="256309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7" name="Oval 116">
            <a:extLst>
              <a:ext uri="{FF2B5EF4-FFF2-40B4-BE49-F238E27FC236}">
                <a16:creationId xmlns:a16="http://schemas.microsoft.com/office/drawing/2014/main" id="{00000000-0008-0000-0C00-000075000000}"/>
              </a:ext>
            </a:extLst>
          </xdr:cNvPr>
          <xdr:cNvSpPr>
            <a:spLocks noChangeAspect="1"/>
          </xdr:cNvSpPr>
        </xdr:nvSpPr>
        <xdr:spPr bwMode="auto">
          <a:xfrm>
            <a:off x="6446524" y="261186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8" name="Oval 117">
            <a:extLst>
              <a:ext uri="{FF2B5EF4-FFF2-40B4-BE49-F238E27FC236}">
                <a16:creationId xmlns:a16="http://schemas.microsoft.com/office/drawing/2014/main" id="{00000000-0008-0000-0C00-000076000000}"/>
              </a:ext>
            </a:extLst>
          </xdr:cNvPr>
          <xdr:cNvSpPr>
            <a:spLocks noChangeAspect="1"/>
          </xdr:cNvSpPr>
        </xdr:nvSpPr>
        <xdr:spPr bwMode="auto">
          <a:xfrm>
            <a:off x="6781804" y="263929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19" name="Oval 118">
            <a:extLst>
              <a:ext uri="{FF2B5EF4-FFF2-40B4-BE49-F238E27FC236}">
                <a16:creationId xmlns:a16="http://schemas.microsoft.com/office/drawing/2014/main" id="{00000000-0008-0000-0C00-000077000000}"/>
              </a:ext>
            </a:extLst>
          </xdr:cNvPr>
          <xdr:cNvSpPr>
            <a:spLocks noChangeAspect="1"/>
          </xdr:cNvSpPr>
        </xdr:nvSpPr>
        <xdr:spPr bwMode="auto">
          <a:xfrm>
            <a:off x="6294124" y="270330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20" name="Oval 119">
            <a:extLst>
              <a:ext uri="{FF2B5EF4-FFF2-40B4-BE49-F238E27FC236}">
                <a16:creationId xmlns:a16="http://schemas.microsoft.com/office/drawing/2014/main" id="{00000000-0008-0000-0C00-000078000000}"/>
              </a:ext>
            </a:extLst>
          </xdr:cNvPr>
          <xdr:cNvSpPr>
            <a:spLocks noChangeAspect="1"/>
          </xdr:cNvSpPr>
        </xdr:nvSpPr>
        <xdr:spPr bwMode="auto">
          <a:xfrm>
            <a:off x="6675124" y="2784074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21" name="Oval 120">
            <a:extLst>
              <a:ext uri="{FF2B5EF4-FFF2-40B4-BE49-F238E27FC236}">
                <a16:creationId xmlns:a16="http://schemas.microsoft.com/office/drawing/2014/main" id="{00000000-0008-0000-0C00-000079000000}"/>
              </a:ext>
            </a:extLst>
          </xdr:cNvPr>
          <xdr:cNvSpPr>
            <a:spLocks noChangeAspect="1"/>
          </xdr:cNvSpPr>
        </xdr:nvSpPr>
        <xdr:spPr bwMode="auto">
          <a:xfrm>
            <a:off x="7132324" y="26118627"/>
            <a:ext cx="182916" cy="182916"/>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22" name="Oval 121">
            <a:extLst>
              <a:ext uri="{FF2B5EF4-FFF2-40B4-BE49-F238E27FC236}">
                <a16:creationId xmlns:a16="http://schemas.microsoft.com/office/drawing/2014/main" id="{00000000-0008-0000-0C00-00007A000000}"/>
              </a:ext>
            </a:extLst>
          </xdr:cNvPr>
          <xdr:cNvSpPr>
            <a:spLocks noChangeAspect="1"/>
          </xdr:cNvSpPr>
        </xdr:nvSpPr>
        <xdr:spPr bwMode="auto">
          <a:xfrm>
            <a:off x="5791201" y="265758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sp macro="" textlink="">
        <xdr:nvSpPr>
          <xdr:cNvPr id="123" name="Oval 122">
            <a:extLst>
              <a:ext uri="{FF2B5EF4-FFF2-40B4-BE49-F238E27FC236}">
                <a16:creationId xmlns:a16="http://schemas.microsoft.com/office/drawing/2014/main" id="{00000000-0008-0000-0C00-00007B000000}"/>
              </a:ext>
            </a:extLst>
          </xdr:cNvPr>
          <xdr:cNvSpPr>
            <a:spLocks noChangeAspect="1"/>
          </xdr:cNvSpPr>
        </xdr:nvSpPr>
        <xdr:spPr bwMode="auto">
          <a:xfrm>
            <a:off x="6858001" y="27414020"/>
            <a:ext cx="381079" cy="228648"/>
          </a:xfrm>
          <a:prstGeom prst="ellipse">
            <a:avLst/>
          </a:prstGeom>
          <a:noFill/>
          <a:ln w="12700" cap="flat" cmpd="sng" algn="ctr">
            <a:solidFill>
              <a:srgbClr val="FF3300"/>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algn="l" rtl="0" eaLnBrk="0" fontAlgn="base" hangingPunct="0">
              <a:spcBef>
                <a:spcPct val="0"/>
              </a:spcBef>
              <a:spcAft>
                <a:spcPct val="0"/>
              </a:spcAft>
              <a:defRPr kern="1200">
                <a:solidFill>
                  <a:schemeClr val="tx1"/>
                </a:solidFill>
                <a:latin typeface="Arial" charset="0"/>
                <a:ea typeface="+mn-ea"/>
                <a:cs typeface="+mn-cs"/>
              </a:defRPr>
            </a:lvl1pPr>
            <a:lvl2pPr marL="457200" algn="l" rtl="0" eaLnBrk="0" fontAlgn="base" hangingPunct="0">
              <a:spcBef>
                <a:spcPct val="0"/>
              </a:spcBef>
              <a:spcAft>
                <a:spcPct val="0"/>
              </a:spcAft>
              <a:defRPr kern="1200">
                <a:solidFill>
                  <a:schemeClr val="tx1"/>
                </a:solidFill>
                <a:latin typeface="Arial" charset="0"/>
                <a:ea typeface="+mn-ea"/>
                <a:cs typeface="+mn-cs"/>
              </a:defRPr>
            </a:lvl2pPr>
            <a:lvl3pPr marL="914400" algn="l" rtl="0" eaLnBrk="0" fontAlgn="base" hangingPunct="0">
              <a:spcBef>
                <a:spcPct val="0"/>
              </a:spcBef>
              <a:spcAft>
                <a:spcPct val="0"/>
              </a:spcAft>
              <a:defRPr kern="1200">
                <a:solidFill>
                  <a:schemeClr val="tx1"/>
                </a:solidFill>
                <a:latin typeface="Arial" charset="0"/>
                <a:ea typeface="+mn-ea"/>
                <a:cs typeface="+mn-cs"/>
              </a:defRPr>
            </a:lvl3pPr>
            <a:lvl4pPr marL="1371600" algn="l" rtl="0" eaLnBrk="0" fontAlgn="base" hangingPunct="0">
              <a:spcBef>
                <a:spcPct val="0"/>
              </a:spcBef>
              <a:spcAft>
                <a:spcPct val="0"/>
              </a:spcAft>
              <a:defRPr kern="1200">
                <a:solidFill>
                  <a:schemeClr val="tx1"/>
                </a:solidFill>
                <a:latin typeface="Arial" charset="0"/>
                <a:ea typeface="+mn-ea"/>
                <a:cs typeface="+mn-cs"/>
              </a:defRPr>
            </a:lvl4pPr>
            <a:lvl5pPr marL="1828800" algn="l" rtl="0" eaLnBrk="0" fontAlgn="base" hangingPunct="0">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560</xdr:colOff>
      <xdr:row>36</xdr:row>
      <xdr:rowOff>52109</xdr:rowOff>
    </xdr:from>
    <xdr:to>
      <xdr:col>4</xdr:col>
      <xdr:colOff>286310</xdr:colOff>
      <xdr:row>43</xdr:row>
      <xdr:rowOff>109259</xdr:rowOff>
    </xdr:to>
    <xdr:pic>
      <xdr:nvPicPr>
        <xdr:cNvPr id="52817" name="Picture 1">
          <a:extLst>
            <a:ext uri="{FF2B5EF4-FFF2-40B4-BE49-F238E27FC236}">
              <a16:creationId xmlns:a16="http://schemas.microsoft.com/office/drawing/2014/main" id="{00000000-0008-0000-0D00-000051C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2766" y="511550"/>
          <a:ext cx="1495985" cy="1155327"/>
        </a:xfrm>
        <a:prstGeom prst="rect">
          <a:avLst/>
        </a:prstGeom>
        <a:noFill/>
        <a:ln w="9525">
          <a:noFill/>
          <a:miter lim="800000"/>
          <a:headEnd/>
          <a:tailEnd/>
        </a:ln>
      </xdr:spPr>
    </xdr:pic>
    <xdr:clientData/>
  </xdr:twoCellAnchor>
  <xdr:twoCellAnchor editAs="oneCell">
    <xdr:from>
      <xdr:col>8</xdr:col>
      <xdr:colOff>514350</xdr:colOff>
      <xdr:row>36</xdr:row>
      <xdr:rowOff>52109</xdr:rowOff>
    </xdr:from>
    <xdr:to>
      <xdr:col>11</xdr:col>
      <xdr:colOff>85725</xdr:colOff>
      <xdr:row>47</xdr:row>
      <xdr:rowOff>4484</xdr:rowOff>
    </xdr:to>
    <xdr:pic>
      <xdr:nvPicPr>
        <xdr:cNvPr id="52818" name="Picture 3">
          <a:extLst>
            <a:ext uri="{FF2B5EF4-FFF2-40B4-BE49-F238E27FC236}">
              <a16:creationId xmlns:a16="http://schemas.microsoft.com/office/drawing/2014/main" id="{00000000-0008-0000-0D00-000052CE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7262" y="511550"/>
          <a:ext cx="1386728" cy="1678081"/>
        </a:xfrm>
        <a:prstGeom prst="rect">
          <a:avLst/>
        </a:prstGeom>
        <a:noFill/>
        <a:ln w="9525">
          <a:noFill/>
          <a:miter lim="800000"/>
          <a:headEnd/>
          <a:tailEnd/>
        </a:ln>
      </xdr:spPr>
    </xdr:pic>
    <xdr:clientData/>
  </xdr:twoCellAnchor>
  <xdr:twoCellAnchor editAs="oneCell">
    <xdr:from>
      <xdr:col>4</xdr:col>
      <xdr:colOff>514350</xdr:colOff>
      <xdr:row>36</xdr:row>
      <xdr:rowOff>52109</xdr:rowOff>
    </xdr:from>
    <xdr:to>
      <xdr:col>8</xdr:col>
      <xdr:colOff>161925</xdr:colOff>
      <xdr:row>44</xdr:row>
      <xdr:rowOff>4484</xdr:rowOff>
    </xdr:to>
    <xdr:pic>
      <xdr:nvPicPr>
        <xdr:cNvPr id="52819" name="Picture 4">
          <a:extLst>
            <a:ext uri="{FF2B5EF4-FFF2-40B4-BE49-F238E27FC236}">
              <a16:creationId xmlns:a16="http://schemas.microsoft.com/office/drawing/2014/main" id="{00000000-0008-0000-0D00-000053CE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16791" y="511550"/>
          <a:ext cx="2068046" cy="1207434"/>
        </a:xfrm>
        <a:prstGeom prst="rect">
          <a:avLst/>
        </a:prstGeom>
        <a:noFill/>
        <a:ln w="9525">
          <a:noFill/>
          <a:miter lim="800000"/>
          <a:headEnd/>
          <a:tailEnd/>
        </a:ln>
      </xdr:spPr>
    </xdr:pic>
    <xdr:clientData/>
  </xdr:twoCellAnchor>
  <xdr:twoCellAnchor>
    <xdr:from>
      <xdr:col>2</xdr:col>
      <xdr:colOff>441263</xdr:colOff>
      <xdr:row>21</xdr:row>
      <xdr:rowOff>78150</xdr:rowOff>
    </xdr:from>
    <xdr:to>
      <xdr:col>5</xdr:col>
      <xdr:colOff>542478</xdr:colOff>
      <xdr:row>32</xdr:row>
      <xdr:rowOff>136720</xdr:rowOff>
    </xdr:to>
    <xdr:grpSp>
      <xdr:nvGrpSpPr>
        <xdr:cNvPr id="52820" name="Group 5">
          <a:extLst>
            <a:ext uri="{FF2B5EF4-FFF2-40B4-BE49-F238E27FC236}">
              <a16:creationId xmlns:a16="http://schemas.microsoft.com/office/drawing/2014/main" id="{00000000-0008-0000-0D00-000054CE0000}"/>
            </a:ext>
          </a:extLst>
        </xdr:cNvPr>
        <xdr:cNvGrpSpPr>
          <a:grpSpLocks/>
        </xdr:cNvGrpSpPr>
      </xdr:nvGrpSpPr>
      <xdr:grpSpPr bwMode="auto">
        <a:xfrm>
          <a:off x="831788" y="3745275"/>
          <a:ext cx="1930015" cy="1839745"/>
          <a:chOff x="55" y="291"/>
          <a:chExt cx="225" cy="182"/>
        </a:xfrm>
      </xdr:grpSpPr>
      <xdr:sp macro="" textlink="">
        <xdr:nvSpPr>
          <xdr:cNvPr id="52870" name="AutoShape 6">
            <a:extLst>
              <a:ext uri="{FF2B5EF4-FFF2-40B4-BE49-F238E27FC236}">
                <a16:creationId xmlns:a16="http://schemas.microsoft.com/office/drawing/2014/main" id="{00000000-0008-0000-0D00-000086CE0000}"/>
              </a:ext>
            </a:extLst>
          </xdr:cNvPr>
          <xdr:cNvSpPr>
            <a:spLocks noChangeArrowheads="1"/>
          </xdr:cNvSpPr>
        </xdr:nvSpPr>
        <xdr:spPr bwMode="auto">
          <a:xfrm>
            <a:off x="56" y="322"/>
            <a:ext cx="153" cy="81"/>
          </a:xfrm>
          <a:prstGeom prst="can">
            <a:avLst>
              <a:gd name="adj" fmla="val 25000"/>
            </a:avLst>
          </a:prstGeom>
          <a:solidFill>
            <a:srgbClr val="CCFFFF"/>
          </a:solidFill>
          <a:ln w="9525">
            <a:solidFill>
              <a:srgbClr val="000000"/>
            </a:solidFill>
            <a:round/>
            <a:headEnd/>
            <a:tailEnd/>
          </a:ln>
        </xdr:spPr>
      </xdr:sp>
      <xdr:sp macro="" textlink="">
        <xdr:nvSpPr>
          <xdr:cNvPr id="52871" name="AutoShape 7">
            <a:extLst>
              <a:ext uri="{FF2B5EF4-FFF2-40B4-BE49-F238E27FC236}">
                <a16:creationId xmlns:a16="http://schemas.microsoft.com/office/drawing/2014/main" id="{00000000-0008-0000-0D00-000087CE0000}"/>
              </a:ext>
            </a:extLst>
          </xdr:cNvPr>
          <xdr:cNvSpPr>
            <a:spLocks noChangeArrowheads="1"/>
          </xdr:cNvSpPr>
        </xdr:nvSpPr>
        <xdr:spPr bwMode="auto">
          <a:xfrm>
            <a:off x="55" y="308"/>
            <a:ext cx="154" cy="96"/>
          </a:xfrm>
          <a:prstGeom prst="can">
            <a:avLst>
              <a:gd name="adj" fmla="val 25000"/>
            </a:avLst>
          </a:prstGeom>
          <a:noFill/>
          <a:ln w="9525">
            <a:solidFill>
              <a:srgbClr val="000000"/>
            </a:solidFill>
            <a:round/>
            <a:headEnd/>
            <a:tailEnd/>
          </a:ln>
        </xdr:spPr>
      </xdr:sp>
      <xdr:sp macro="" textlink="">
        <xdr:nvSpPr>
          <xdr:cNvPr id="52872" name="Rectangle 8">
            <a:extLst>
              <a:ext uri="{FF2B5EF4-FFF2-40B4-BE49-F238E27FC236}">
                <a16:creationId xmlns:a16="http://schemas.microsoft.com/office/drawing/2014/main" id="{00000000-0008-0000-0D00-000088CE0000}"/>
              </a:ext>
            </a:extLst>
          </xdr:cNvPr>
          <xdr:cNvSpPr>
            <a:spLocks noChangeArrowheads="1"/>
          </xdr:cNvSpPr>
        </xdr:nvSpPr>
        <xdr:spPr bwMode="auto">
          <a:xfrm>
            <a:off x="120" y="404"/>
            <a:ext cx="23" cy="45"/>
          </a:xfrm>
          <a:prstGeom prst="rect">
            <a:avLst/>
          </a:prstGeom>
          <a:solidFill>
            <a:srgbClr val="CCFFFF"/>
          </a:solidFill>
          <a:ln w="9525">
            <a:solidFill>
              <a:srgbClr val="000000"/>
            </a:solidFill>
            <a:miter lim="800000"/>
            <a:headEnd/>
            <a:tailEnd/>
          </a:ln>
        </xdr:spPr>
      </xdr:sp>
      <xdr:sp macro="" textlink="">
        <xdr:nvSpPr>
          <xdr:cNvPr id="52873" name="Line 9">
            <a:extLst>
              <a:ext uri="{FF2B5EF4-FFF2-40B4-BE49-F238E27FC236}">
                <a16:creationId xmlns:a16="http://schemas.microsoft.com/office/drawing/2014/main" id="{00000000-0008-0000-0D00-000089CE0000}"/>
              </a:ext>
            </a:extLst>
          </xdr:cNvPr>
          <xdr:cNvSpPr>
            <a:spLocks noChangeShapeType="1"/>
          </xdr:cNvSpPr>
        </xdr:nvSpPr>
        <xdr:spPr bwMode="auto">
          <a:xfrm flipV="1">
            <a:off x="131" y="427"/>
            <a:ext cx="0" cy="41"/>
          </a:xfrm>
          <a:prstGeom prst="line">
            <a:avLst/>
          </a:prstGeom>
          <a:noFill/>
          <a:ln w="9525">
            <a:solidFill>
              <a:srgbClr val="000000"/>
            </a:solidFill>
            <a:round/>
            <a:headEnd/>
            <a:tailEnd type="triangle" w="med" len="med"/>
          </a:ln>
        </xdr:spPr>
      </xdr:sp>
      <xdr:sp macro="" textlink="">
        <xdr:nvSpPr>
          <xdr:cNvPr id="52234" name="Text Box 10">
            <a:extLst>
              <a:ext uri="{FF2B5EF4-FFF2-40B4-BE49-F238E27FC236}">
                <a16:creationId xmlns:a16="http://schemas.microsoft.com/office/drawing/2014/main" id="{00000000-0008-0000-0D00-00000ACC0000}"/>
              </a:ext>
            </a:extLst>
          </xdr:cNvPr>
          <xdr:cNvSpPr txBox="1">
            <a:spLocks noChangeArrowheads="1"/>
          </xdr:cNvSpPr>
        </xdr:nvSpPr>
        <xdr:spPr bwMode="auto">
          <a:xfrm>
            <a:off x="136" y="455"/>
            <a:ext cx="78" cy="1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Water Flow</a:t>
            </a:r>
            <a:endParaRPr lang="en-US"/>
          </a:p>
        </xdr:txBody>
      </xdr:sp>
      <xdr:sp macro="" textlink="">
        <xdr:nvSpPr>
          <xdr:cNvPr id="52875" name="Line 11">
            <a:extLst>
              <a:ext uri="{FF2B5EF4-FFF2-40B4-BE49-F238E27FC236}">
                <a16:creationId xmlns:a16="http://schemas.microsoft.com/office/drawing/2014/main" id="{00000000-0008-0000-0D00-00008BCE0000}"/>
              </a:ext>
            </a:extLst>
          </xdr:cNvPr>
          <xdr:cNvSpPr>
            <a:spLocks noChangeShapeType="1"/>
          </xdr:cNvSpPr>
        </xdr:nvSpPr>
        <xdr:spPr bwMode="auto">
          <a:xfrm>
            <a:off x="121" y="421"/>
            <a:ext cx="23" cy="0"/>
          </a:xfrm>
          <a:prstGeom prst="line">
            <a:avLst/>
          </a:prstGeom>
          <a:noFill/>
          <a:ln w="9525">
            <a:solidFill>
              <a:srgbClr val="000000"/>
            </a:solidFill>
            <a:round/>
            <a:headEnd type="triangle" w="med" len="med"/>
            <a:tailEnd type="triangle" w="med" len="med"/>
          </a:ln>
        </xdr:spPr>
      </xdr:sp>
      <xdr:sp macro="" textlink="">
        <xdr:nvSpPr>
          <xdr:cNvPr id="52236" name="Text Box 12">
            <a:extLst>
              <a:ext uri="{FF2B5EF4-FFF2-40B4-BE49-F238E27FC236}">
                <a16:creationId xmlns:a16="http://schemas.microsoft.com/office/drawing/2014/main" id="{00000000-0008-0000-0D00-00000CCC0000}"/>
              </a:ext>
            </a:extLst>
          </xdr:cNvPr>
          <xdr:cNvSpPr txBox="1">
            <a:spLocks noChangeArrowheads="1"/>
          </xdr:cNvSpPr>
        </xdr:nvSpPr>
        <xdr:spPr bwMode="auto">
          <a:xfrm>
            <a:off x="157" y="417"/>
            <a:ext cx="123" cy="1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Inlet diameter (d)</a:t>
            </a:r>
            <a:endParaRPr lang="en-US"/>
          </a:p>
        </xdr:txBody>
      </xdr:sp>
      <xdr:sp macro="" textlink="">
        <xdr:nvSpPr>
          <xdr:cNvPr id="52877" name="Line 13">
            <a:extLst>
              <a:ext uri="{FF2B5EF4-FFF2-40B4-BE49-F238E27FC236}">
                <a16:creationId xmlns:a16="http://schemas.microsoft.com/office/drawing/2014/main" id="{00000000-0008-0000-0D00-00008DCE0000}"/>
              </a:ext>
            </a:extLst>
          </xdr:cNvPr>
          <xdr:cNvSpPr>
            <a:spLocks noChangeShapeType="1"/>
          </xdr:cNvSpPr>
        </xdr:nvSpPr>
        <xdr:spPr bwMode="auto">
          <a:xfrm>
            <a:off x="55" y="366"/>
            <a:ext cx="154" cy="0"/>
          </a:xfrm>
          <a:prstGeom prst="line">
            <a:avLst/>
          </a:prstGeom>
          <a:noFill/>
          <a:ln w="9525">
            <a:solidFill>
              <a:srgbClr val="000000"/>
            </a:solidFill>
            <a:round/>
            <a:headEnd type="triangle" w="med" len="med"/>
            <a:tailEnd type="triangle" w="med" len="med"/>
          </a:ln>
        </xdr:spPr>
      </xdr:sp>
      <xdr:sp macro="" textlink="">
        <xdr:nvSpPr>
          <xdr:cNvPr id="52238" name="Text Box 14">
            <a:extLst>
              <a:ext uri="{FF2B5EF4-FFF2-40B4-BE49-F238E27FC236}">
                <a16:creationId xmlns:a16="http://schemas.microsoft.com/office/drawing/2014/main" id="{00000000-0008-0000-0D00-00000ECC0000}"/>
              </a:ext>
            </a:extLst>
          </xdr:cNvPr>
          <xdr:cNvSpPr txBox="1">
            <a:spLocks noChangeArrowheads="1"/>
          </xdr:cNvSpPr>
        </xdr:nvSpPr>
        <xdr:spPr bwMode="auto">
          <a:xfrm>
            <a:off x="76" y="364"/>
            <a:ext cx="131"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Tank Diameter (D)</a:t>
            </a:r>
            <a:endParaRPr lang="en-US"/>
          </a:p>
        </xdr:txBody>
      </xdr:sp>
      <xdr:sp macro="" textlink="">
        <xdr:nvSpPr>
          <xdr:cNvPr id="52879" name="Line 15">
            <a:extLst>
              <a:ext uri="{FF2B5EF4-FFF2-40B4-BE49-F238E27FC236}">
                <a16:creationId xmlns:a16="http://schemas.microsoft.com/office/drawing/2014/main" id="{00000000-0008-0000-0D00-00008FCE0000}"/>
              </a:ext>
            </a:extLst>
          </xdr:cNvPr>
          <xdr:cNvSpPr>
            <a:spLocks noChangeShapeType="1"/>
          </xdr:cNvSpPr>
        </xdr:nvSpPr>
        <xdr:spPr bwMode="auto">
          <a:xfrm>
            <a:off x="215" y="332"/>
            <a:ext cx="0" cy="60"/>
          </a:xfrm>
          <a:prstGeom prst="line">
            <a:avLst/>
          </a:prstGeom>
          <a:noFill/>
          <a:ln w="9525">
            <a:solidFill>
              <a:srgbClr val="000000"/>
            </a:solidFill>
            <a:round/>
            <a:headEnd type="triangle" w="med" len="med"/>
            <a:tailEnd type="triangle" w="med" len="med"/>
          </a:ln>
        </xdr:spPr>
      </xdr:sp>
      <xdr:sp macro="" textlink="">
        <xdr:nvSpPr>
          <xdr:cNvPr id="52240" name="Text Box 16">
            <a:extLst>
              <a:ext uri="{FF2B5EF4-FFF2-40B4-BE49-F238E27FC236}">
                <a16:creationId xmlns:a16="http://schemas.microsoft.com/office/drawing/2014/main" id="{00000000-0008-0000-0D00-000010CC0000}"/>
              </a:ext>
            </a:extLst>
          </xdr:cNvPr>
          <xdr:cNvSpPr txBox="1">
            <a:spLocks noChangeArrowheads="1"/>
          </xdr:cNvSpPr>
        </xdr:nvSpPr>
        <xdr:spPr bwMode="auto">
          <a:xfrm>
            <a:off x="227" y="291"/>
            <a:ext cx="46" cy="112"/>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vert270" wrap="none" lIns="18288" tIns="22860" rIns="0" bIns="22860" anchor="t" upright="1">
            <a:spAutoFit/>
          </a:bodyPr>
          <a:lstStyle/>
          <a:p>
            <a:pPr algn="ctr" rtl="0">
              <a:lnSpc>
                <a:spcPts val="900"/>
              </a:lnSpc>
              <a:defRPr sz="1000"/>
            </a:pPr>
            <a:r>
              <a:rPr lang="en-US" sz="1000" b="0" i="0" u="none" strike="noStrike" baseline="0">
                <a:solidFill>
                  <a:srgbClr val="000000"/>
                </a:solidFill>
                <a:latin typeface="Arial"/>
                <a:cs typeface="Arial"/>
              </a:rPr>
              <a:t>Maximum Operating </a:t>
            </a:r>
          </a:p>
          <a:p>
            <a:pPr algn="ctr" rtl="0">
              <a:lnSpc>
                <a:spcPts val="900"/>
              </a:lnSpc>
              <a:defRPr sz="1000"/>
            </a:pPr>
            <a:r>
              <a:rPr lang="en-US" sz="1000" b="0" i="0" u="none" strike="noStrike" baseline="0">
                <a:solidFill>
                  <a:srgbClr val="000000"/>
                </a:solidFill>
                <a:latin typeface="Arial"/>
                <a:cs typeface="Arial"/>
              </a:rPr>
              <a:t>Water Depth (H)</a:t>
            </a:r>
            <a:endParaRPr lang="en-US"/>
          </a:p>
        </xdr:txBody>
      </xdr:sp>
    </xdr:grpSp>
    <xdr:clientData/>
  </xdr:twoCellAnchor>
  <xdr:twoCellAnchor>
    <xdr:from>
      <xdr:col>6</xdr:col>
      <xdr:colOff>76200</xdr:colOff>
      <xdr:row>21</xdr:row>
      <xdr:rowOff>109925</xdr:rowOff>
    </xdr:from>
    <xdr:to>
      <xdr:col>10</xdr:col>
      <xdr:colOff>38100</xdr:colOff>
      <xdr:row>33</xdr:row>
      <xdr:rowOff>76198</xdr:rowOff>
    </xdr:to>
    <xdr:grpSp>
      <xdr:nvGrpSpPr>
        <xdr:cNvPr id="52821" name="Group 17">
          <a:extLst>
            <a:ext uri="{FF2B5EF4-FFF2-40B4-BE49-F238E27FC236}">
              <a16:creationId xmlns:a16="http://schemas.microsoft.com/office/drawing/2014/main" id="{00000000-0008-0000-0D00-000055CE0000}"/>
            </a:ext>
          </a:extLst>
        </xdr:cNvPr>
        <xdr:cNvGrpSpPr>
          <a:grpSpLocks/>
        </xdr:cNvGrpSpPr>
      </xdr:nvGrpSpPr>
      <xdr:grpSpPr bwMode="auto">
        <a:xfrm>
          <a:off x="2905125" y="3777050"/>
          <a:ext cx="2400300" cy="1909373"/>
          <a:chOff x="294" y="298"/>
          <a:chExt cx="252" cy="187"/>
        </a:xfrm>
      </xdr:grpSpPr>
      <xdr:sp macro="" textlink="">
        <xdr:nvSpPr>
          <xdr:cNvPr id="52853" name="AutoShape 18">
            <a:extLst>
              <a:ext uri="{FF2B5EF4-FFF2-40B4-BE49-F238E27FC236}">
                <a16:creationId xmlns:a16="http://schemas.microsoft.com/office/drawing/2014/main" id="{00000000-0008-0000-0D00-000075CE0000}"/>
              </a:ext>
            </a:extLst>
          </xdr:cNvPr>
          <xdr:cNvSpPr>
            <a:spLocks noChangeArrowheads="1"/>
          </xdr:cNvSpPr>
        </xdr:nvSpPr>
        <xdr:spPr bwMode="auto">
          <a:xfrm>
            <a:off x="332" y="327"/>
            <a:ext cx="154" cy="43"/>
          </a:xfrm>
          <a:prstGeom prst="can">
            <a:avLst>
              <a:gd name="adj" fmla="val 25000"/>
            </a:avLst>
          </a:prstGeom>
          <a:solidFill>
            <a:srgbClr val="CCFFFF"/>
          </a:solidFill>
          <a:ln w="9525">
            <a:solidFill>
              <a:srgbClr val="000000"/>
            </a:solidFill>
            <a:round/>
            <a:headEnd/>
            <a:tailEnd/>
          </a:ln>
        </xdr:spPr>
      </xdr:sp>
      <xdr:sp macro="" textlink="">
        <xdr:nvSpPr>
          <xdr:cNvPr id="52854" name="AutoShape 19">
            <a:extLst>
              <a:ext uri="{FF2B5EF4-FFF2-40B4-BE49-F238E27FC236}">
                <a16:creationId xmlns:a16="http://schemas.microsoft.com/office/drawing/2014/main" id="{00000000-0008-0000-0D00-000076CE0000}"/>
              </a:ext>
            </a:extLst>
          </xdr:cNvPr>
          <xdr:cNvSpPr>
            <a:spLocks noChangeArrowheads="1"/>
          </xdr:cNvSpPr>
        </xdr:nvSpPr>
        <xdr:spPr bwMode="auto">
          <a:xfrm>
            <a:off x="332" y="313"/>
            <a:ext cx="154" cy="60"/>
          </a:xfrm>
          <a:prstGeom prst="can">
            <a:avLst>
              <a:gd name="adj" fmla="val 25000"/>
            </a:avLst>
          </a:prstGeom>
          <a:noFill/>
          <a:ln w="9525">
            <a:solidFill>
              <a:srgbClr val="000000"/>
            </a:solidFill>
            <a:round/>
            <a:headEnd/>
            <a:tailEnd/>
          </a:ln>
        </xdr:spPr>
      </xdr:sp>
      <xdr:sp macro="" textlink="">
        <xdr:nvSpPr>
          <xdr:cNvPr id="52855" name="AutoShape 20">
            <a:extLst>
              <a:ext uri="{FF2B5EF4-FFF2-40B4-BE49-F238E27FC236}">
                <a16:creationId xmlns:a16="http://schemas.microsoft.com/office/drawing/2014/main" id="{00000000-0008-0000-0D00-000077CE0000}"/>
              </a:ext>
            </a:extLst>
          </xdr:cNvPr>
          <xdr:cNvSpPr>
            <a:spLocks noChangeArrowheads="1"/>
          </xdr:cNvSpPr>
        </xdr:nvSpPr>
        <xdr:spPr bwMode="auto">
          <a:xfrm>
            <a:off x="331" y="367"/>
            <a:ext cx="155" cy="35"/>
          </a:xfrm>
          <a:prstGeom prst="flowChartManualOperation">
            <a:avLst/>
          </a:prstGeom>
          <a:solidFill>
            <a:srgbClr val="CCFFFF"/>
          </a:solidFill>
          <a:ln w="9525">
            <a:solidFill>
              <a:srgbClr val="000000"/>
            </a:solidFill>
            <a:miter lim="800000"/>
            <a:headEnd/>
            <a:tailEnd/>
          </a:ln>
        </xdr:spPr>
      </xdr:sp>
      <xdr:sp macro="" textlink="">
        <xdr:nvSpPr>
          <xdr:cNvPr id="52856" name="Rectangle 21">
            <a:extLst>
              <a:ext uri="{FF2B5EF4-FFF2-40B4-BE49-F238E27FC236}">
                <a16:creationId xmlns:a16="http://schemas.microsoft.com/office/drawing/2014/main" id="{00000000-0008-0000-0D00-000078CE0000}"/>
              </a:ext>
            </a:extLst>
          </xdr:cNvPr>
          <xdr:cNvSpPr>
            <a:spLocks noChangeArrowheads="1"/>
          </xdr:cNvSpPr>
        </xdr:nvSpPr>
        <xdr:spPr bwMode="auto">
          <a:xfrm>
            <a:off x="362" y="401"/>
            <a:ext cx="93" cy="55"/>
          </a:xfrm>
          <a:prstGeom prst="rect">
            <a:avLst/>
          </a:prstGeom>
          <a:solidFill>
            <a:srgbClr val="FFFFFF"/>
          </a:solidFill>
          <a:ln w="9525">
            <a:solidFill>
              <a:srgbClr val="000000"/>
            </a:solidFill>
            <a:miter lim="800000"/>
            <a:headEnd/>
            <a:tailEnd/>
          </a:ln>
        </xdr:spPr>
      </xdr:sp>
      <xdr:sp macro="" textlink="">
        <xdr:nvSpPr>
          <xdr:cNvPr id="52857" name="Rectangle 22">
            <a:extLst>
              <a:ext uri="{FF2B5EF4-FFF2-40B4-BE49-F238E27FC236}">
                <a16:creationId xmlns:a16="http://schemas.microsoft.com/office/drawing/2014/main" id="{00000000-0008-0000-0D00-000079CE0000}"/>
              </a:ext>
            </a:extLst>
          </xdr:cNvPr>
          <xdr:cNvSpPr>
            <a:spLocks noChangeArrowheads="1"/>
          </xdr:cNvSpPr>
        </xdr:nvSpPr>
        <xdr:spPr bwMode="auto">
          <a:xfrm>
            <a:off x="400" y="402"/>
            <a:ext cx="23" cy="53"/>
          </a:xfrm>
          <a:prstGeom prst="rect">
            <a:avLst/>
          </a:prstGeom>
          <a:solidFill>
            <a:srgbClr val="CCFFFF"/>
          </a:solidFill>
          <a:ln w="9525">
            <a:solidFill>
              <a:srgbClr val="000000"/>
            </a:solidFill>
            <a:miter lim="800000"/>
            <a:headEnd/>
            <a:tailEnd/>
          </a:ln>
        </xdr:spPr>
      </xdr:sp>
      <xdr:sp macro="" textlink="">
        <xdr:nvSpPr>
          <xdr:cNvPr id="52858" name="Line 23">
            <a:extLst>
              <a:ext uri="{FF2B5EF4-FFF2-40B4-BE49-F238E27FC236}">
                <a16:creationId xmlns:a16="http://schemas.microsoft.com/office/drawing/2014/main" id="{00000000-0008-0000-0D00-00007ACE0000}"/>
              </a:ext>
            </a:extLst>
          </xdr:cNvPr>
          <xdr:cNvSpPr>
            <a:spLocks noChangeShapeType="1"/>
          </xdr:cNvSpPr>
        </xdr:nvSpPr>
        <xdr:spPr bwMode="auto">
          <a:xfrm flipV="1">
            <a:off x="411" y="438"/>
            <a:ext cx="0" cy="41"/>
          </a:xfrm>
          <a:prstGeom prst="line">
            <a:avLst/>
          </a:prstGeom>
          <a:noFill/>
          <a:ln w="9525">
            <a:solidFill>
              <a:srgbClr val="000000"/>
            </a:solidFill>
            <a:round/>
            <a:headEnd/>
            <a:tailEnd type="triangle" w="med" len="med"/>
          </a:ln>
        </xdr:spPr>
      </xdr:sp>
      <xdr:sp macro="" textlink="">
        <xdr:nvSpPr>
          <xdr:cNvPr id="52248" name="Text Box 24">
            <a:extLst>
              <a:ext uri="{FF2B5EF4-FFF2-40B4-BE49-F238E27FC236}">
                <a16:creationId xmlns:a16="http://schemas.microsoft.com/office/drawing/2014/main" id="{00000000-0008-0000-0D00-000018CC0000}"/>
              </a:ext>
            </a:extLst>
          </xdr:cNvPr>
          <xdr:cNvSpPr txBox="1">
            <a:spLocks noChangeArrowheads="1"/>
          </xdr:cNvSpPr>
        </xdr:nvSpPr>
        <xdr:spPr bwMode="auto">
          <a:xfrm>
            <a:off x="422" y="467"/>
            <a:ext cx="71" cy="1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Water Flow</a:t>
            </a:r>
            <a:endParaRPr lang="en-US"/>
          </a:p>
        </xdr:txBody>
      </xdr:sp>
      <xdr:sp macro="" textlink="">
        <xdr:nvSpPr>
          <xdr:cNvPr id="52860" name="Line 25">
            <a:extLst>
              <a:ext uri="{FF2B5EF4-FFF2-40B4-BE49-F238E27FC236}">
                <a16:creationId xmlns:a16="http://schemas.microsoft.com/office/drawing/2014/main" id="{00000000-0008-0000-0D00-00007CCE0000}"/>
              </a:ext>
            </a:extLst>
          </xdr:cNvPr>
          <xdr:cNvSpPr>
            <a:spLocks noChangeShapeType="1"/>
          </xdr:cNvSpPr>
        </xdr:nvSpPr>
        <xdr:spPr bwMode="auto">
          <a:xfrm>
            <a:off x="401" y="409"/>
            <a:ext cx="23" cy="0"/>
          </a:xfrm>
          <a:prstGeom prst="line">
            <a:avLst/>
          </a:prstGeom>
          <a:noFill/>
          <a:ln w="9525">
            <a:solidFill>
              <a:srgbClr val="000000"/>
            </a:solidFill>
            <a:round/>
            <a:headEnd type="triangle" w="med" len="med"/>
            <a:tailEnd type="triangle" w="med" len="med"/>
          </a:ln>
        </xdr:spPr>
      </xdr:sp>
      <xdr:sp macro="" textlink="">
        <xdr:nvSpPr>
          <xdr:cNvPr id="52250" name="Text Box 26">
            <a:extLst>
              <a:ext uri="{FF2B5EF4-FFF2-40B4-BE49-F238E27FC236}">
                <a16:creationId xmlns:a16="http://schemas.microsoft.com/office/drawing/2014/main" id="{00000000-0008-0000-0D00-00001ACC0000}"/>
              </a:ext>
            </a:extLst>
          </xdr:cNvPr>
          <xdr:cNvSpPr txBox="1">
            <a:spLocks noChangeArrowheads="1"/>
          </xdr:cNvSpPr>
        </xdr:nvSpPr>
        <xdr:spPr bwMode="auto">
          <a:xfrm>
            <a:off x="294" y="405"/>
            <a:ext cx="97" cy="18"/>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Inlet diameter (d)</a:t>
            </a:r>
            <a:endParaRPr lang="en-US"/>
          </a:p>
        </xdr:txBody>
      </xdr:sp>
      <xdr:sp macro="" textlink="">
        <xdr:nvSpPr>
          <xdr:cNvPr id="52862" name="Line 27">
            <a:extLst>
              <a:ext uri="{FF2B5EF4-FFF2-40B4-BE49-F238E27FC236}">
                <a16:creationId xmlns:a16="http://schemas.microsoft.com/office/drawing/2014/main" id="{00000000-0008-0000-0D00-00007ECE0000}"/>
              </a:ext>
            </a:extLst>
          </xdr:cNvPr>
          <xdr:cNvSpPr>
            <a:spLocks noChangeShapeType="1"/>
          </xdr:cNvSpPr>
        </xdr:nvSpPr>
        <xdr:spPr bwMode="auto">
          <a:xfrm flipH="1">
            <a:off x="455" y="446"/>
            <a:ext cx="20" cy="0"/>
          </a:xfrm>
          <a:prstGeom prst="line">
            <a:avLst/>
          </a:prstGeom>
          <a:noFill/>
          <a:ln w="9525">
            <a:solidFill>
              <a:srgbClr val="000000"/>
            </a:solidFill>
            <a:round/>
            <a:headEnd/>
            <a:tailEnd type="triangle" w="med" len="med"/>
          </a:ln>
        </xdr:spPr>
      </xdr:sp>
      <xdr:sp macro="" textlink="">
        <xdr:nvSpPr>
          <xdr:cNvPr id="52252" name="Text Box 28">
            <a:extLst>
              <a:ext uri="{FF2B5EF4-FFF2-40B4-BE49-F238E27FC236}">
                <a16:creationId xmlns:a16="http://schemas.microsoft.com/office/drawing/2014/main" id="{00000000-0008-0000-0D00-00001CCC0000}"/>
              </a:ext>
            </a:extLst>
          </xdr:cNvPr>
          <xdr:cNvSpPr txBox="1">
            <a:spLocks noChangeArrowheads="1"/>
          </xdr:cNvSpPr>
        </xdr:nvSpPr>
        <xdr:spPr bwMode="auto">
          <a:xfrm>
            <a:off x="476" y="437"/>
            <a:ext cx="53" cy="1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Dry riser</a:t>
            </a:r>
            <a:endParaRPr lang="en-US"/>
          </a:p>
        </xdr:txBody>
      </xdr:sp>
      <xdr:sp macro="" textlink="">
        <xdr:nvSpPr>
          <xdr:cNvPr id="52864" name="Line 29">
            <a:extLst>
              <a:ext uri="{FF2B5EF4-FFF2-40B4-BE49-F238E27FC236}">
                <a16:creationId xmlns:a16="http://schemas.microsoft.com/office/drawing/2014/main" id="{00000000-0008-0000-0D00-000080CE0000}"/>
              </a:ext>
            </a:extLst>
          </xdr:cNvPr>
          <xdr:cNvSpPr>
            <a:spLocks noChangeShapeType="1"/>
          </xdr:cNvSpPr>
        </xdr:nvSpPr>
        <xdr:spPr bwMode="auto">
          <a:xfrm flipH="1">
            <a:off x="425" y="419"/>
            <a:ext cx="48" cy="0"/>
          </a:xfrm>
          <a:prstGeom prst="line">
            <a:avLst/>
          </a:prstGeom>
          <a:noFill/>
          <a:ln w="9525">
            <a:solidFill>
              <a:srgbClr val="000000"/>
            </a:solidFill>
            <a:round/>
            <a:headEnd/>
            <a:tailEnd type="triangle" w="med" len="med"/>
          </a:ln>
        </xdr:spPr>
      </xdr:sp>
      <xdr:sp macro="" textlink="">
        <xdr:nvSpPr>
          <xdr:cNvPr id="52254" name="Text Box 30">
            <a:extLst>
              <a:ext uri="{FF2B5EF4-FFF2-40B4-BE49-F238E27FC236}">
                <a16:creationId xmlns:a16="http://schemas.microsoft.com/office/drawing/2014/main" id="{00000000-0008-0000-0D00-00001ECC0000}"/>
              </a:ext>
            </a:extLst>
          </xdr:cNvPr>
          <xdr:cNvSpPr txBox="1">
            <a:spLocks noChangeArrowheads="1"/>
          </xdr:cNvSpPr>
        </xdr:nvSpPr>
        <xdr:spPr bwMode="auto">
          <a:xfrm>
            <a:off x="474" y="414"/>
            <a:ext cx="55" cy="1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Wet riser</a:t>
            </a:r>
            <a:endParaRPr lang="en-US"/>
          </a:p>
        </xdr:txBody>
      </xdr:sp>
      <xdr:sp macro="" textlink="">
        <xdr:nvSpPr>
          <xdr:cNvPr id="52866" name="Line 31">
            <a:extLst>
              <a:ext uri="{FF2B5EF4-FFF2-40B4-BE49-F238E27FC236}">
                <a16:creationId xmlns:a16="http://schemas.microsoft.com/office/drawing/2014/main" id="{00000000-0008-0000-0D00-000082CE0000}"/>
              </a:ext>
            </a:extLst>
          </xdr:cNvPr>
          <xdr:cNvSpPr>
            <a:spLocks noChangeShapeType="1"/>
          </xdr:cNvSpPr>
        </xdr:nvSpPr>
        <xdr:spPr bwMode="auto">
          <a:xfrm>
            <a:off x="333" y="346"/>
            <a:ext cx="154" cy="0"/>
          </a:xfrm>
          <a:prstGeom prst="line">
            <a:avLst/>
          </a:prstGeom>
          <a:noFill/>
          <a:ln w="9525">
            <a:solidFill>
              <a:srgbClr val="000000"/>
            </a:solidFill>
            <a:round/>
            <a:headEnd type="triangle" w="med" len="med"/>
            <a:tailEnd type="triangle" w="med" len="med"/>
          </a:ln>
        </xdr:spPr>
      </xdr:sp>
      <xdr:sp macro="" textlink="">
        <xdr:nvSpPr>
          <xdr:cNvPr id="52256" name="Text Box 32">
            <a:extLst>
              <a:ext uri="{FF2B5EF4-FFF2-40B4-BE49-F238E27FC236}">
                <a16:creationId xmlns:a16="http://schemas.microsoft.com/office/drawing/2014/main" id="{00000000-0008-0000-0D00-000020CC0000}"/>
              </a:ext>
            </a:extLst>
          </xdr:cNvPr>
          <xdr:cNvSpPr txBox="1">
            <a:spLocks noChangeArrowheads="1"/>
          </xdr:cNvSpPr>
        </xdr:nvSpPr>
        <xdr:spPr bwMode="auto">
          <a:xfrm>
            <a:off x="355" y="347"/>
            <a:ext cx="104" cy="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Tank Diameter (D)</a:t>
            </a:r>
            <a:endParaRPr lang="en-US"/>
          </a:p>
        </xdr:txBody>
      </xdr:sp>
      <xdr:sp macro="" textlink="">
        <xdr:nvSpPr>
          <xdr:cNvPr id="52868" name="Line 33">
            <a:extLst>
              <a:ext uri="{FF2B5EF4-FFF2-40B4-BE49-F238E27FC236}">
                <a16:creationId xmlns:a16="http://schemas.microsoft.com/office/drawing/2014/main" id="{00000000-0008-0000-0D00-000084CE0000}"/>
              </a:ext>
            </a:extLst>
          </xdr:cNvPr>
          <xdr:cNvSpPr>
            <a:spLocks noChangeShapeType="1"/>
          </xdr:cNvSpPr>
        </xdr:nvSpPr>
        <xdr:spPr bwMode="auto">
          <a:xfrm>
            <a:off x="495" y="332"/>
            <a:ext cx="0" cy="69"/>
          </a:xfrm>
          <a:prstGeom prst="line">
            <a:avLst/>
          </a:prstGeom>
          <a:noFill/>
          <a:ln w="9525">
            <a:solidFill>
              <a:srgbClr val="000000"/>
            </a:solidFill>
            <a:round/>
            <a:headEnd type="triangle" w="med" len="med"/>
            <a:tailEnd type="triangle" w="med" len="med"/>
          </a:ln>
        </xdr:spPr>
      </xdr:sp>
      <xdr:sp macro="" textlink="">
        <xdr:nvSpPr>
          <xdr:cNvPr id="52258" name="Text Box 34">
            <a:extLst>
              <a:ext uri="{FF2B5EF4-FFF2-40B4-BE49-F238E27FC236}">
                <a16:creationId xmlns:a16="http://schemas.microsoft.com/office/drawing/2014/main" id="{00000000-0008-0000-0D00-000022CC0000}"/>
              </a:ext>
            </a:extLst>
          </xdr:cNvPr>
          <xdr:cNvSpPr txBox="1">
            <a:spLocks noChangeArrowheads="1"/>
          </xdr:cNvSpPr>
        </xdr:nvSpPr>
        <xdr:spPr bwMode="auto">
          <a:xfrm>
            <a:off x="510" y="298"/>
            <a:ext cx="36" cy="1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vert270" wrap="none" lIns="18288" tIns="0" rIns="0" bIns="22860" anchor="t" upright="1">
            <a:spAutoFit/>
          </a:bodyPr>
          <a:lstStyle/>
          <a:p>
            <a:pPr algn="l" rtl="0">
              <a:lnSpc>
                <a:spcPts val="900"/>
              </a:lnSpc>
              <a:defRPr sz="1000"/>
            </a:pPr>
            <a:r>
              <a:rPr lang="en-US" sz="1000" b="0" i="0" u="none" strike="noStrike" baseline="0">
                <a:solidFill>
                  <a:srgbClr val="000000"/>
                </a:solidFill>
                <a:latin typeface="Arial"/>
                <a:cs typeface="Arial"/>
              </a:rPr>
              <a:t>Maximum Operating </a:t>
            </a:r>
          </a:p>
          <a:p>
            <a:pPr algn="l" rtl="0">
              <a:lnSpc>
                <a:spcPts val="1000"/>
              </a:lnSpc>
              <a:defRPr sz="1000"/>
            </a:pPr>
            <a:r>
              <a:rPr lang="en-US" sz="1000" b="0" i="0" u="none" strike="noStrike" baseline="0">
                <a:solidFill>
                  <a:srgbClr val="000000"/>
                </a:solidFill>
                <a:latin typeface="Arial"/>
                <a:cs typeface="Arial"/>
              </a:rPr>
              <a:t>Water Depth (H)</a:t>
            </a:r>
            <a:endParaRPr lang="en-US"/>
          </a:p>
        </xdr:txBody>
      </xdr:sp>
    </xdr:grpSp>
    <xdr:clientData/>
  </xdr:twoCellAnchor>
  <xdr:twoCellAnchor editAs="oneCell">
    <xdr:from>
      <xdr:col>15</xdr:col>
      <xdr:colOff>142875</xdr:colOff>
      <xdr:row>26</xdr:row>
      <xdr:rowOff>142875</xdr:rowOff>
    </xdr:from>
    <xdr:to>
      <xdr:col>15</xdr:col>
      <xdr:colOff>238125</xdr:colOff>
      <xdr:row>28</xdr:row>
      <xdr:rowOff>38100</xdr:rowOff>
    </xdr:to>
    <xdr:sp macro="" textlink="">
      <xdr:nvSpPr>
        <xdr:cNvPr id="52822" name="Text Box 35">
          <a:extLst>
            <a:ext uri="{FF2B5EF4-FFF2-40B4-BE49-F238E27FC236}">
              <a16:creationId xmlns:a16="http://schemas.microsoft.com/office/drawing/2014/main" id="{00000000-0008-0000-0D00-000056CE0000}"/>
            </a:ext>
          </a:extLst>
        </xdr:cNvPr>
        <xdr:cNvSpPr txBox="1">
          <a:spLocks noChangeArrowheads="1"/>
        </xdr:cNvSpPr>
      </xdr:nvSpPr>
      <xdr:spPr bwMode="auto">
        <a:xfrm>
          <a:off x="8067675" y="4400550"/>
          <a:ext cx="95250" cy="219075"/>
        </a:xfrm>
        <a:prstGeom prst="rect">
          <a:avLst/>
        </a:prstGeom>
        <a:noFill/>
        <a:ln w="9525">
          <a:noFill/>
          <a:miter lim="800000"/>
          <a:headEnd/>
          <a:tailEnd/>
        </a:ln>
      </xdr:spPr>
    </xdr:sp>
    <xdr:clientData/>
  </xdr:twoCellAnchor>
  <xdr:twoCellAnchor>
    <xdr:from>
      <xdr:col>10</xdr:col>
      <xdr:colOff>419099</xdr:colOff>
      <xdr:row>20</xdr:row>
      <xdr:rowOff>28780</xdr:rowOff>
    </xdr:from>
    <xdr:to>
      <xdr:col>14</xdr:col>
      <xdr:colOff>332967</xdr:colOff>
      <xdr:row>32</xdr:row>
      <xdr:rowOff>133351</xdr:rowOff>
    </xdr:to>
    <xdr:grpSp>
      <xdr:nvGrpSpPr>
        <xdr:cNvPr id="52823" name="Group 36">
          <a:extLst>
            <a:ext uri="{FF2B5EF4-FFF2-40B4-BE49-F238E27FC236}">
              <a16:creationId xmlns:a16="http://schemas.microsoft.com/office/drawing/2014/main" id="{00000000-0008-0000-0D00-000057CE0000}"/>
            </a:ext>
          </a:extLst>
        </xdr:cNvPr>
        <xdr:cNvGrpSpPr>
          <a:grpSpLocks/>
        </xdr:cNvGrpSpPr>
      </xdr:nvGrpSpPr>
      <xdr:grpSpPr bwMode="auto">
        <a:xfrm>
          <a:off x="5686424" y="3533980"/>
          <a:ext cx="2352268" cy="2047671"/>
          <a:chOff x="604" y="270"/>
          <a:chExt cx="243" cy="202"/>
        </a:xfrm>
      </xdr:grpSpPr>
      <xdr:sp macro="" textlink="">
        <xdr:nvSpPr>
          <xdr:cNvPr id="52838" name="Freeform 37">
            <a:extLst>
              <a:ext uri="{FF2B5EF4-FFF2-40B4-BE49-F238E27FC236}">
                <a16:creationId xmlns:a16="http://schemas.microsoft.com/office/drawing/2014/main" id="{00000000-0008-0000-0D00-000066CE0000}"/>
              </a:ext>
            </a:extLst>
          </xdr:cNvPr>
          <xdr:cNvSpPr>
            <a:spLocks/>
          </xdr:cNvSpPr>
        </xdr:nvSpPr>
        <xdr:spPr bwMode="auto">
          <a:xfrm>
            <a:off x="605" y="321"/>
            <a:ext cx="176" cy="84"/>
          </a:xfrm>
          <a:custGeom>
            <a:avLst/>
            <a:gdLst>
              <a:gd name="T0" fmla="*/ 0 w 176"/>
              <a:gd name="T1" fmla="*/ 26 h 84"/>
              <a:gd name="T2" fmla="*/ 26 w 176"/>
              <a:gd name="T3" fmla="*/ 0 h 84"/>
              <a:gd name="T4" fmla="*/ 175 w 176"/>
              <a:gd name="T5" fmla="*/ 0 h 84"/>
              <a:gd name="T6" fmla="*/ 176 w 176"/>
              <a:gd name="T7" fmla="*/ 58 h 84"/>
              <a:gd name="T8" fmla="*/ 150 w 176"/>
              <a:gd name="T9" fmla="*/ 84 h 84"/>
              <a:gd name="T10" fmla="*/ 0 w 176"/>
              <a:gd name="T11" fmla="*/ 84 h 84"/>
              <a:gd name="T12" fmla="*/ 0 w 176"/>
              <a:gd name="T13" fmla="*/ 26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76" h="84">
                <a:moveTo>
                  <a:pt x="0" y="26"/>
                </a:moveTo>
                <a:lnTo>
                  <a:pt x="26" y="0"/>
                </a:lnTo>
                <a:lnTo>
                  <a:pt x="175" y="0"/>
                </a:lnTo>
                <a:lnTo>
                  <a:pt x="176" y="58"/>
                </a:lnTo>
                <a:lnTo>
                  <a:pt x="150" y="84"/>
                </a:lnTo>
                <a:lnTo>
                  <a:pt x="0" y="84"/>
                </a:lnTo>
                <a:lnTo>
                  <a:pt x="0" y="26"/>
                </a:lnTo>
                <a:close/>
              </a:path>
            </a:pathLst>
          </a:custGeom>
          <a:solidFill>
            <a:srgbClr val="CCFFFF"/>
          </a:solidFill>
          <a:ln w="9525">
            <a:solidFill>
              <a:srgbClr val="000000"/>
            </a:solidFill>
            <a:round/>
            <a:headEnd/>
            <a:tailEnd/>
          </a:ln>
        </xdr:spPr>
      </xdr:sp>
      <xdr:sp macro="" textlink="">
        <xdr:nvSpPr>
          <xdr:cNvPr id="52839" name="AutoShape 38">
            <a:extLst>
              <a:ext uri="{FF2B5EF4-FFF2-40B4-BE49-F238E27FC236}">
                <a16:creationId xmlns:a16="http://schemas.microsoft.com/office/drawing/2014/main" id="{00000000-0008-0000-0D00-000067CE0000}"/>
              </a:ext>
            </a:extLst>
          </xdr:cNvPr>
          <xdr:cNvSpPr>
            <a:spLocks noChangeArrowheads="1"/>
          </xdr:cNvSpPr>
        </xdr:nvSpPr>
        <xdr:spPr bwMode="auto">
          <a:xfrm>
            <a:off x="605" y="304"/>
            <a:ext cx="176" cy="101"/>
          </a:xfrm>
          <a:prstGeom prst="cube">
            <a:avLst>
              <a:gd name="adj" fmla="val 25000"/>
            </a:avLst>
          </a:prstGeom>
          <a:noFill/>
          <a:ln w="9525">
            <a:solidFill>
              <a:srgbClr val="000000"/>
            </a:solidFill>
            <a:miter lim="800000"/>
            <a:headEnd/>
            <a:tailEnd/>
          </a:ln>
        </xdr:spPr>
      </xdr:sp>
      <xdr:sp macro="" textlink="">
        <xdr:nvSpPr>
          <xdr:cNvPr id="52263" name="Text Box 39">
            <a:extLst>
              <a:ext uri="{FF2B5EF4-FFF2-40B4-BE49-F238E27FC236}">
                <a16:creationId xmlns:a16="http://schemas.microsoft.com/office/drawing/2014/main" id="{00000000-0008-0000-0D00-000027CC0000}"/>
              </a:ext>
            </a:extLst>
          </xdr:cNvPr>
          <xdr:cNvSpPr txBox="1">
            <a:spLocks noChangeArrowheads="1"/>
          </xdr:cNvSpPr>
        </xdr:nvSpPr>
        <xdr:spPr bwMode="auto">
          <a:xfrm>
            <a:off x="622" y="270"/>
            <a:ext cx="177" cy="21"/>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Longest Sidewall length (D)</a:t>
            </a:r>
            <a:endParaRPr lang="en-US"/>
          </a:p>
        </xdr:txBody>
      </xdr:sp>
      <xdr:sp macro="" textlink="">
        <xdr:nvSpPr>
          <xdr:cNvPr id="52264" name="Text Box 40">
            <a:extLst>
              <a:ext uri="{FF2B5EF4-FFF2-40B4-BE49-F238E27FC236}">
                <a16:creationId xmlns:a16="http://schemas.microsoft.com/office/drawing/2014/main" id="{00000000-0008-0000-0D00-000028CC0000}"/>
              </a:ext>
            </a:extLst>
          </xdr:cNvPr>
          <xdr:cNvSpPr txBox="1">
            <a:spLocks noChangeArrowheads="1"/>
          </xdr:cNvSpPr>
        </xdr:nvSpPr>
        <xdr:spPr bwMode="auto">
          <a:xfrm>
            <a:off x="777" y="397"/>
            <a:ext cx="70" cy="5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Shortest Sidewall length (L)</a:t>
            </a:r>
            <a:endParaRPr lang="en-US"/>
          </a:p>
        </xdr:txBody>
      </xdr:sp>
      <xdr:sp macro="" textlink="">
        <xdr:nvSpPr>
          <xdr:cNvPr id="52842" name="Line 41">
            <a:extLst>
              <a:ext uri="{FF2B5EF4-FFF2-40B4-BE49-F238E27FC236}">
                <a16:creationId xmlns:a16="http://schemas.microsoft.com/office/drawing/2014/main" id="{00000000-0008-0000-0D00-00006ACE0000}"/>
              </a:ext>
            </a:extLst>
          </xdr:cNvPr>
          <xdr:cNvSpPr>
            <a:spLocks noChangeShapeType="1"/>
          </xdr:cNvSpPr>
        </xdr:nvSpPr>
        <xdr:spPr bwMode="auto">
          <a:xfrm flipH="1">
            <a:off x="756" y="321"/>
            <a:ext cx="25" cy="26"/>
          </a:xfrm>
          <a:prstGeom prst="line">
            <a:avLst/>
          </a:prstGeom>
          <a:noFill/>
          <a:ln w="9525">
            <a:solidFill>
              <a:srgbClr val="000000"/>
            </a:solidFill>
            <a:round/>
            <a:headEnd/>
            <a:tailEnd/>
          </a:ln>
        </xdr:spPr>
      </xdr:sp>
      <xdr:sp macro="" textlink="">
        <xdr:nvSpPr>
          <xdr:cNvPr id="52843" name="Line 42">
            <a:extLst>
              <a:ext uri="{FF2B5EF4-FFF2-40B4-BE49-F238E27FC236}">
                <a16:creationId xmlns:a16="http://schemas.microsoft.com/office/drawing/2014/main" id="{00000000-0008-0000-0D00-00006BCE0000}"/>
              </a:ext>
            </a:extLst>
          </xdr:cNvPr>
          <xdr:cNvSpPr>
            <a:spLocks noChangeShapeType="1"/>
          </xdr:cNvSpPr>
        </xdr:nvSpPr>
        <xdr:spPr bwMode="auto">
          <a:xfrm>
            <a:off x="605" y="346"/>
            <a:ext cx="151" cy="0"/>
          </a:xfrm>
          <a:prstGeom prst="line">
            <a:avLst/>
          </a:prstGeom>
          <a:noFill/>
          <a:ln w="9525">
            <a:solidFill>
              <a:srgbClr val="000000"/>
            </a:solidFill>
            <a:round/>
            <a:headEnd/>
            <a:tailEnd/>
          </a:ln>
        </xdr:spPr>
      </xdr:sp>
      <xdr:sp macro="" textlink="">
        <xdr:nvSpPr>
          <xdr:cNvPr id="52844" name="Line 43">
            <a:extLst>
              <a:ext uri="{FF2B5EF4-FFF2-40B4-BE49-F238E27FC236}">
                <a16:creationId xmlns:a16="http://schemas.microsoft.com/office/drawing/2014/main" id="{00000000-0008-0000-0D00-00006CCE0000}"/>
              </a:ext>
            </a:extLst>
          </xdr:cNvPr>
          <xdr:cNvSpPr>
            <a:spLocks noChangeShapeType="1"/>
          </xdr:cNvSpPr>
        </xdr:nvSpPr>
        <xdr:spPr bwMode="auto">
          <a:xfrm>
            <a:off x="633" y="296"/>
            <a:ext cx="150" cy="0"/>
          </a:xfrm>
          <a:prstGeom prst="line">
            <a:avLst/>
          </a:prstGeom>
          <a:noFill/>
          <a:ln w="9525">
            <a:solidFill>
              <a:srgbClr val="000000"/>
            </a:solidFill>
            <a:round/>
            <a:headEnd type="triangle" w="med" len="med"/>
            <a:tailEnd type="triangle" w="med" len="med"/>
          </a:ln>
        </xdr:spPr>
      </xdr:sp>
      <xdr:sp macro="" textlink="">
        <xdr:nvSpPr>
          <xdr:cNvPr id="52845" name="Line 44">
            <a:extLst>
              <a:ext uri="{FF2B5EF4-FFF2-40B4-BE49-F238E27FC236}">
                <a16:creationId xmlns:a16="http://schemas.microsoft.com/office/drawing/2014/main" id="{00000000-0008-0000-0D00-00006DCE0000}"/>
              </a:ext>
            </a:extLst>
          </xdr:cNvPr>
          <xdr:cNvSpPr>
            <a:spLocks noChangeShapeType="1"/>
          </xdr:cNvSpPr>
        </xdr:nvSpPr>
        <xdr:spPr bwMode="auto">
          <a:xfrm flipV="1">
            <a:off x="759" y="384"/>
            <a:ext cx="27" cy="28"/>
          </a:xfrm>
          <a:prstGeom prst="line">
            <a:avLst/>
          </a:prstGeom>
          <a:noFill/>
          <a:ln w="9525">
            <a:solidFill>
              <a:srgbClr val="000000"/>
            </a:solidFill>
            <a:round/>
            <a:headEnd type="triangle" w="med" len="med"/>
            <a:tailEnd type="triangle" w="med" len="med"/>
          </a:ln>
        </xdr:spPr>
      </xdr:sp>
      <xdr:sp macro="" textlink="">
        <xdr:nvSpPr>
          <xdr:cNvPr id="52846" name="Line 45">
            <a:extLst>
              <a:ext uri="{FF2B5EF4-FFF2-40B4-BE49-F238E27FC236}">
                <a16:creationId xmlns:a16="http://schemas.microsoft.com/office/drawing/2014/main" id="{00000000-0008-0000-0D00-00006ECE0000}"/>
              </a:ext>
            </a:extLst>
          </xdr:cNvPr>
          <xdr:cNvSpPr>
            <a:spLocks noChangeShapeType="1"/>
          </xdr:cNvSpPr>
        </xdr:nvSpPr>
        <xdr:spPr bwMode="auto">
          <a:xfrm>
            <a:off x="792" y="320"/>
            <a:ext cx="0" cy="58"/>
          </a:xfrm>
          <a:prstGeom prst="line">
            <a:avLst/>
          </a:prstGeom>
          <a:noFill/>
          <a:ln w="9525">
            <a:solidFill>
              <a:srgbClr val="000000"/>
            </a:solidFill>
            <a:round/>
            <a:headEnd type="triangle" w="med" len="med"/>
            <a:tailEnd type="triangle" w="med" len="med"/>
          </a:ln>
        </xdr:spPr>
      </xdr:sp>
      <xdr:sp macro="" textlink="">
        <xdr:nvSpPr>
          <xdr:cNvPr id="52270" name="Text Box 46">
            <a:extLst>
              <a:ext uri="{FF2B5EF4-FFF2-40B4-BE49-F238E27FC236}">
                <a16:creationId xmlns:a16="http://schemas.microsoft.com/office/drawing/2014/main" id="{00000000-0008-0000-0D00-00002ECC0000}"/>
              </a:ext>
            </a:extLst>
          </xdr:cNvPr>
          <xdr:cNvSpPr txBox="1">
            <a:spLocks noChangeArrowheads="1"/>
          </xdr:cNvSpPr>
        </xdr:nvSpPr>
        <xdr:spPr bwMode="auto">
          <a:xfrm>
            <a:off x="804" y="272"/>
            <a:ext cx="36" cy="113"/>
          </a:xfrm>
          <a:prstGeom prst="rect">
            <a:avLst/>
          </a:prstGeom>
          <a:solidFill>
            <a:srgbClr val="FFFFFF"/>
          </a:solidFill>
          <a:ln w="9525">
            <a:solidFill>
              <a:srgbClr val="FFFFFF"/>
            </a:solidFill>
            <a:miter lim="800000"/>
            <a:headEnd/>
            <a:tailEnd/>
          </a:ln>
        </xdr:spPr>
        <xdr:txBody>
          <a:bodyPr vert="vert270" wrap="none" lIns="18288" tIns="22860" rIns="0" bIns="22860" anchor="t" upright="1">
            <a:spAutoFit/>
          </a:bodyPr>
          <a:lstStyle/>
          <a:p>
            <a:pPr algn="ctr" rtl="0">
              <a:lnSpc>
                <a:spcPts val="1000"/>
              </a:lnSpc>
              <a:defRPr sz="1000"/>
            </a:pPr>
            <a:r>
              <a:rPr lang="en-US" sz="1000" b="0" i="0" u="none" strike="noStrike" baseline="0">
                <a:solidFill>
                  <a:srgbClr val="000000"/>
                </a:solidFill>
                <a:latin typeface="Arial"/>
                <a:cs typeface="Arial"/>
              </a:rPr>
              <a:t>Maximum Operating</a:t>
            </a:r>
          </a:p>
          <a:p>
            <a:pPr algn="ctr" rtl="0">
              <a:lnSpc>
                <a:spcPts val="1000"/>
              </a:lnSpc>
              <a:defRPr sz="1000"/>
            </a:pPr>
            <a:r>
              <a:rPr lang="en-US" sz="1000" b="0" i="0" u="none" strike="noStrike" baseline="0">
                <a:solidFill>
                  <a:srgbClr val="000000"/>
                </a:solidFill>
                <a:latin typeface="Arial"/>
                <a:cs typeface="Arial"/>
              </a:rPr>
              <a:t>Water Depth (H)</a:t>
            </a:r>
            <a:endParaRPr lang="en-US"/>
          </a:p>
        </xdr:txBody>
      </xdr:sp>
      <xdr:sp macro="" textlink="">
        <xdr:nvSpPr>
          <xdr:cNvPr id="52848" name="Rectangle 47">
            <a:extLst>
              <a:ext uri="{FF2B5EF4-FFF2-40B4-BE49-F238E27FC236}">
                <a16:creationId xmlns:a16="http://schemas.microsoft.com/office/drawing/2014/main" id="{00000000-0008-0000-0D00-000070CE0000}"/>
              </a:ext>
            </a:extLst>
          </xdr:cNvPr>
          <xdr:cNvSpPr>
            <a:spLocks noChangeArrowheads="1"/>
          </xdr:cNvSpPr>
        </xdr:nvSpPr>
        <xdr:spPr bwMode="auto">
          <a:xfrm>
            <a:off x="709" y="405"/>
            <a:ext cx="23" cy="46"/>
          </a:xfrm>
          <a:prstGeom prst="rect">
            <a:avLst/>
          </a:prstGeom>
          <a:solidFill>
            <a:srgbClr val="CCFFFF"/>
          </a:solidFill>
          <a:ln w="9525">
            <a:solidFill>
              <a:srgbClr val="000000"/>
            </a:solidFill>
            <a:miter lim="800000"/>
            <a:headEnd/>
            <a:tailEnd/>
          </a:ln>
        </xdr:spPr>
      </xdr:sp>
      <xdr:sp macro="" textlink="">
        <xdr:nvSpPr>
          <xdr:cNvPr id="52849" name="Line 48">
            <a:extLst>
              <a:ext uri="{FF2B5EF4-FFF2-40B4-BE49-F238E27FC236}">
                <a16:creationId xmlns:a16="http://schemas.microsoft.com/office/drawing/2014/main" id="{00000000-0008-0000-0D00-000071CE0000}"/>
              </a:ext>
            </a:extLst>
          </xdr:cNvPr>
          <xdr:cNvSpPr>
            <a:spLocks noChangeShapeType="1"/>
          </xdr:cNvSpPr>
        </xdr:nvSpPr>
        <xdr:spPr bwMode="auto">
          <a:xfrm>
            <a:off x="709" y="414"/>
            <a:ext cx="23" cy="0"/>
          </a:xfrm>
          <a:prstGeom prst="line">
            <a:avLst/>
          </a:prstGeom>
          <a:noFill/>
          <a:ln w="9525">
            <a:solidFill>
              <a:srgbClr val="000000"/>
            </a:solidFill>
            <a:round/>
            <a:headEnd type="triangle" w="med" len="med"/>
            <a:tailEnd type="triangle" w="med" len="med"/>
          </a:ln>
        </xdr:spPr>
      </xdr:sp>
      <xdr:sp macro="" textlink="">
        <xdr:nvSpPr>
          <xdr:cNvPr id="52850" name="Line 49">
            <a:extLst>
              <a:ext uri="{FF2B5EF4-FFF2-40B4-BE49-F238E27FC236}">
                <a16:creationId xmlns:a16="http://schemas.microsoft.com/office/drawing/2014/main" id="{00000000-0008-0000-0D00-000072CE0000}"/>
              </a:ext>
            </a:extLst>
          </xdr:cNvPr>
          <xdr:cNvSpPr>
            <a:spLocks noChangeShapeType="1"/>
          </xdr:cNvSpPr>
        </xdr:nvSpPr>
        <xdr:spPr bwMode="auto">
          <a:xfrm flipV="1">
            <a:off x="720" y="428"/>
            <a:ext cx="0" cy="37"/>
          </a:xfrm>
          <a:prstGeom prst="line">
            <a:avLst/>
          </a:prstGeom>
          <a:noFill/>
          <a:ln w="9525">
            <a:solidFill>
              <a:srgbClr val="000000"/>
            </a:solidFill>
            <a:round/>
            <a:headEnd/>
            <a:tailEnd type="triangle" w="med" len="med"/>
          </a:ln>
        </xdr:spPr>
      </xdr:sp>
      <xdr:sp macro="" textlink="">
        <xdr:nvSpPr>
          <xdr:cNvPr id="52274" name="Text Box 50">
            <a:extLst>
              <a:ext uri="{FF2B5EF4-FFF2-40B4-BE49-F238E27FC236}">
                <a16:creationId xmlns:a16="http://schemas.microsoft.com/office/drawing/2014/main" id="{00000000-0008-0000-0D00-000032CC0000}"/>
              </a:ext>
            </a:extLst>
          </xdr:cNvPr>
          <xdr:cNvSpPr txBox="1">
            <a:spLocks noChangeArrowheads="1"/>
          </xdr:cNvSpPr>
        </xdr:nvSpPr>
        <xdr:spPr bwMode="auto">
          <a:xfrm>
            <a:off x="727" y="454"/>
            <a:ext cx="69" cy="1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Water Flow</a:t>
            </a:r>
            <a:endParaRPr lang="en-US"/>
          </a:p>
        </xdr:txBody>
      </xdr:sp>
      <xdr:sp macro="" textlink="">
        <xdr:nvSpPr>
          <xdr:cNvPr id="52275" name="Text Box 51">
            <a:extLst>
              <a:ext uri="{FF2B5EF4-FFF2-40B4-BE49-F238E27FC236}">
                <a16:creationId xmlns:a16="http://schemas.microsoft.com/office/drawing/2014/main" id="{00000000-0008-0000-0D00-000033CC0000}"/>
              </a:ext>
            </a:extLst>
          </xdr:cNvPr>
          <xdr:cNvSpPr txBox="1">
            <a:spLocks noChangeArrowheads="1"/>
          </xdr:cNvSpPr>
        </xdr:nvSpPr>
        <xdr:spPr bwMode="auto">
          <a:xfrm>
            <a:off x="604" y="412"/>
            <a:ext cx="95" cy="1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Inlet diameter (d)</a:t>
            </a:r>
            <a:endParaRPr lang="en-US"/>
          </a:p>
        </xdr:txBody>
      </xdr:sp>
    </xdr:grpSp>
    <xdr:clientData/>
  </xdr:twoCellAnchor>
  <xdr:twoCellAnchor editAs="oneCell">
    <xdr:from>
      <xdr:col>3</xdr:col>
      <xdr:colOff>523875</xdr:colOff>
      <xdr:row>59</xdr:row>
      <xdr:rowOff>0</xdr:rowOff>
    </xdr:from>
    <xdr:to>
      <xdr:col>4</xdr:col>
      <xdr:colOff>9525</xdr:colOff>
      <xdr:row>60</xdr:row>
      <xdr:rowOff>38100</xdr:rowOff>
    </xdr:to>
    <xdr:sp macro="" textlink="">
      <xdr:nvSpPr>
        <xdr:cNvPr id="52824" name="Text Box 52">
          <a:extLst>
            <a:ext uri="{FF2B5EF4-FFF2-40B4-BE49-F238E27FC236}">
              <a16:creationId xmlns:a16="http://schemas.microsoft.com/office/drawing/2014/main" id="{00000000-0008-0000-0D00-000058CE0000}"/>
            </a:ext>
          </a:extLst>
        </xdr:cNvPr>
        <xdr:cNvSpPr txBox="1">
          <a:spLocks noChangeArrowheads="1"/>
        </xdr:cNvSpPr>
      </xdr:nvSpPr>
      <xdr:spPr bwMode="auto">
        <a:xfrm>
          <a:off x="1133475" y="6934200"/>
          <a:ext cx="95250" cy="209550"/>
        </a:xfrm>
        <a:prstGeom prst="rect">
          <a:avLst/>
        </a:prstGeom>
        <a:noFill/>
        <a:ln w="9525">
          <a:noFill/>
          <a:miter lim="800000"/>
          <a:headEnd/>
          <a:tailEnd/>
        </a:ln>
      </xdr:spPr>
    </xdr:sp>
    <xdr:clientData/>
  </xdr:twoCellAnchor>
  <xdr:oneCellAnchor>
    <xdr:from>
      <xdr:col>11</xdr:col>
      <xdr:colOff>295275</xdr:colOff>
      <xdr:row>35</xdr:row>
      <xdr:rowOff>114300</xdr:rowOff>
    </xdr:from>
    <xdr:ext cx="3140475" cy="728405"/>
    <xdr:sp macro="" textlink="">
      <xdr:nvSpPr>
        <xdr:cNvPr id="52292" name="Text Box 68">
          <a:extLst>
            <a:ext uri="{FF2B5EF4-FFF2-40B4-BE49-F238E27FC236}">
              <a16:creationId xmlns:a16="http://schemas.microsoft.com/office/drawing/2014/main" id="{00000000-0008-0000-0D00-000044CC0000}"/>
            </a:ext>
          </a:extLst>
        </xdr:cNvPr>
        <xdr:cNvSpPr txBox="1">
          <a:spLocks noChangeArrowheads="1"/>
        </xdr:cNvSpPr>
      </xdr:nvSpPr>
      <xdr:spPr bwMode="auto">
        <a:xfrm>
          <a:off x="5741334" y="327212"/>
          <a:ext cx="3140475" cy="72840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lnSpc>
              <a:spcPts val="1100"/>
            </a:lnSpc>
            <a:defRPr sz="1000"/>
          </a:pPr>
          <a:r>
            <a:rPr lang="en-US" sz="1000" b="0" i="0" u="none" strike="noStrike" baseline="0">
              <a:solidFill>
                <a:srgbClr val="000000"/>
              </a:solidFill>
              <a:latin typeface="Arial"/>
              <a:cs typeface="Arial"/>
            </a:rPr>
            <a:t>NOTE: If the tank is a hydropillar, the tank spreadsheet</a:t>
          </a:r>
        </a:p>
        <a:p>
          <a:pPr algn="l" rtl="0">
            <a:lnSpc>
              <a:spcPts val="1100"/>
            </a:lnSpc>
            <a:defRPr sz="1000"/>
          </a:pPr>
          <a:r>
            <a:rPr lang="en-US" sz="1000" b="0" i="0" u="none" strike="noStrike" baseline="0">
              <a:solidFill>
                <a:srgbClr val="000000"/>
              </a:solidFill>
              <a:latin typeface="Arial"/>
              <a:cs typeface="Arial"/>
            </a:rPr>
            <a:t>can approximate the tank turnover and mixing, but the </a:t>
          </a:r>
        </a:p>
        <a:p>
          <a:pPr algn="l" rtl="0">
            <a:lnSpc>
              <a:spcPts val="1100"/>
            </a:lnSpc>
            <a:defRPr sz="1000"/>
          </a:pPr>
          <a:r>
            <a:rPr lang="en-US" sz="1000" b="0" i="0" u="none" strike="noStrike" baseline="0">
              <a:solidFill>
                <a:srgbClr val="000000"/>
              </a:solidFill>
              <a:latin typeface="Arial"/>
              <a:cs typeface="Arial"/>
            </a:rPr>
            <a:t>tank must operate in the range of the tank that has a </a:t>
          </a:r>
        </a:p>
        <a:p>
          <a:pPr algn="l" rtl="0">
            <a:lnSpc>
              <a:spcPts val="1100"/>
            </a:lnSpc>
            <a:defRPr sz="1000"/>
          </a:pPr>
          <a:r>
            <a:rPr lang="en-US" sz="1000" b="0" i="0" u="none" strike="noStrike" baseline="0">
              <a:solidFill>
                <a:srgbClr val="000000"/>
              </a:solidFill>
              <a:latin typeface="Arial"/>
              <a:cs typeface="Arial"/>
            </a:rPr>
            <a:t>cylindrical shape, not the cone-shaped bottom section.</a:t>
          </a:r>
        </a:p>
        <a:p>
          <a:pPr algn="l" rtl="0">
            <a:lnSpc>
              <a:spcPts val="1100"/>
            </a:lnSpc>
            <a:defRPr sz="1000"/>
          </a:pPr>
          <a:r>
            <a:rPr lang="en-US" sz="1000" b="0" i="0" u="none" strike="noStrike" baseline="0">
              <a:solidFill>
                <a:srgbClr val="000000"/>
              </a:solidFill>
              <a:latin typeface="Arial"/>
              <a:cs typeface="Arial"/>
            </a:rPr>
            <a:t>As shown below:</a:t>
          </a:r>
          <a:endParaRPr lang="en-US"/>
        </a:p>
      </xdr:txBody>
    </xdr:sp>
    <xdr:clientData/>
  </xdr:oneCellAnchor>
  <xdr:twoCellAnchor>
    <xdr:from>
      <xdr:col>11</xdr:col>
      <xdr:colOff>552451</xdr:colOff>
      <xdr:row>41</xdr:row>
      <xdr:rowOff>95250</xdr:rowOff>
    </xdr:from>
    <xdr:to>
      <xdr:col>16</xdr:col>
      <xdr:colOff>333764</xdr:colOff>
      <xdr:row>50</xdr:row>
      <xdr:rowOff>57150</xdr:rowOff>
    </xdr:to>
    <xdr:grpSp>
      <xdr:nvGrpSpPr>
        <xdr:cNvPr id="52826" name="Group 69">
          <a:extLst>
            <a:ext uri="{FF2B5EF4-FFF2-40B4-BE49-F238E27FC236}">
              <a16:creationId xmlns:a16="http://schemas.microsoft.com/office/drawing/2014/main" id="{00000000-0008-0000-0D00-00005ACE0000}"/>
            </a:ext>
          </a:extLst>
        </xdr:cNvPr>
        <xdr:cNvGrpSpPr>
          <a:grpSpLocks/>
        </xdr:cNvGrpSpPr>
      </xdr:nvGrpSpPr>
      <xdr:grpSpPr bwMode="auto">
        <a:xfrm>
          <a:off x="6429376" y="7000875"/>
          <a:ext cx="2829313" cy="1419225"/>
          <a:chOff x="804" y="130"/>
          <a:chExt cx="256" cy="140"/>
        </a:xfrm>
      </xdr:grpSpPr>
      <xdr:sp macro="" textlink="">
        <xdr:nvSpPr>
          <xdr:cNvPr id="52294" name="Text Box 70">
            <a:extLst>
              <a:ext uri="{FF2B5EF4-FFF2-40B4-BE49-F238E27FC236}">
                <a16:creationId xmlns:a16="http://schemas.microsoft.com/office/drawing/2014/main" id="{00000000-0008-0000-0D00-000046CC0000}"/>
              </a:ext>
            </a:extLst>
          </xdr:cNvPr>
          <xdr:cNvSpPr txBox="1">
            <a:spLocks noChangeArrowheads="1"/>
          </xdr:cNvSpPr>
        </xdr:nvSpPr>
        <xdr:spPr bwMode="auto">
          <a:xfrm>
            <a:off x="909" y="178"/>
            <a:ext cx="151" cy="82"/>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lnSpc>
                <a:spcPts val="1100"/>
              </a:lnSpc>
              <a:defRPr sz="1000"/>
            </a:pPr>
            <a:r>
              <a:rPr lang="en-US" sz="1000" b="0" i="0" u="none" strike="noStrike" baseline="0">
                <a:solidFill>
                  <a:srgbClr val="FF0000"/>
                </a:solidFill>
                <a:latin typeface="Arial"/>
                <a:cs typeface="Arial"/>
              </a:rPr>
              <a:t>Tank spreadsheet </a:t>
            </a:r>
          </a:p>
          <a:p>
            <a:pPr algn="ctr" rtl="0">
              <a:lnSpc>
                <a:spcPts val="1100"/>
              </a:lnSpc>
              <a:defRPr sz="1000"/>
            </a:pPr>
            <a:r>
              <a:rPr lang="en-US" sz="1000" b="0" i="0" u="none" strike="noStrike" baseline="0">
                <a:solidFill>
                  <a:srgbClr val="FF0000"/>
                </a:solidFill>
                <a:latin typeface="Arial"/>
                <a:cs typeface="Arial"/>
              </a:rPr>
              <a:t>will not appropriately </a:t>
            </a:r>
          </a:p>
          <a:p>
            <a:pPr algn="ctr" rtl="0">
              <a:lnSpc>
                <a:spcPts val="1100"/>
              </a:lnSpc>
              <a:defRPr sz="1000"/>
            </a:pPr>
            <a:r>
              <a:rPr lang="en-US" sz="1000" b="0" i="0" u="none" strike="noStrike" baseline="0">
                <a:solidFill>
                  <a:srgbClr val="FF0000"/>
                </a:solidFill>
                <a:latin typeface="Arial"/>
                <a:cs typeface="Arial"/>
              </a:rPr>
              <a:t>estimate turnover </a:t>
            </a:r>
          </a:p>
          <a:p>
            <a:pPr algn="ctr" rtl="0">
              <a:lnSpc>
                <a:spcPts val="1100"/>
              </a:lnSpc>
              <a:defRPr sz="1000"/>
            </a:pPr>
            <a:r>
              <a:rPr lang="en-US" sz="1000" b="0" i="0" u="none" strike="noStrike" baseline="0">
                <a:solidFill>
                  <a:srgbClr val="FF0000"/>
                </a:solidFill>
                <a:latin typeface="Arial"/>
                <a:cs typeface="Arial"/>
              </a:rPr>
              <a:t>and mixing for hydropillars </a:t>
            </a:r>
          </a:p>
          <a:p>
            <a:pPr algn="ctr" rtl="0">
              <a:lnSpc>
                <a:spcPts val="1100"/>
              </a:lnSpc>
              <a:defRPr sz="1000"/>
            </a:pPr>
            <a:r>
              <a:rPr lang="en-US" sz="1000" b="0" i="0" u="none" strike="noStrike" baseline="0">
                <a:solidFill>
                  <a:srgbClr val="FF0000"/>
                </a:solidFill>
                <a:latin typeface="Arial"/>
                <a:cs typeface="Arial"/>
              </a:rPr>
              <a:t>operating in this range.</a:t>
            </a:r>
            <a:endParaRPr lang="en-US"/>
          </a:p>
        </xdr:txBody>
      </xdr:sp>
      <xdr:sp macro="" textlink="">
        <xdr:nvSpPr>
          <xdr:cNvPr id="52828" name="AutoShape 71">
            <a:extLst>
              <a:ext uri="{FF2B5EF4-FFF2-40B4-BE49-F238E27FC236}">
                <a16:creationId xmlns:a16="http://schemas.microsoft.com/office/drawing/2014/main" id="{00000000-0008-0000-0D00-00005CCE0000}"/>
              </a:ext>
            </a:extLst>
          </xdr:cNvPr>
          <xdr:cNvSpPr>
            <a:spLocks noChangeArrowheads="1"/>
          </xdr:cNvSpPr>
        </xdr:nvSpPr>
        <xdr:spPr bwMode="auto">
          <a:xfrm>
            <a:off x="805" y="141"/>
            <a:ext cx="108" cy="33"/>
          </a:xfrm>
          <a:prstGeom prst="can">
            <a:avLst>
              <a:gd name="adj" fmla="val 25000"/>
            </a:avLst>
          </a:prstGeom>
          <a:solidFill>
            <a:srgbClr val="CCFFFF"/>
          </a:solidFill>
          <a:ln w="9525">
            <a:solidFill>
              <a:srgbClr val="000000"/>
            </a:solidFill>
            <a:round/>
            <a:headEnd/>
            <a:tailEnd/>
          </a:ln>
        </xdr:spPr>
      </xdr:sp>
      <xdr:sp macro="" textlink="">
        <xdr:nvSpPr>
          <xdr:cNvPr id="52829" name="AutoShape 72">
            <a:extLst>
              <a:ext uri="{FF2B5EF4-FFF2-40B4-BE49-F238E27FC236}">
                <a16:creationId xmlns:a16="http://schemas.microsoft.com/office/drawing/2014/main" id="{00000000-0008-0000-0D00-00005DCE0000}"/>
              </a:ext>
            </a:extLst>
          </xdr:cNvPr>
          <xdr:cNvSpPr>
            <a:spLocks noChangeArrowheads="1"/>
          </xdr:cNvSpPr>
        </xdr:nvSpPr>
        <xdr:spPr bwMode="auto">
          <a:xfrm>
            <a:off x="805" y="130"/>
            <a:ext cx="108" cy="46"/>
          </a:xfrm>
          <a:prstGeom prst="can">
            <a:avLst>
              <a:gd name="adj" fmla="val 25000"/>
            </a:avLst>
          </a:prstGeom>
          <a:noFill/>
          <a:ln w="9525">
            <a:solidFill>
              <a:srgbClr val="000000"/>
            </a:solidFill>
            <a:round/>
            <a:headEnd/>
            <a:tailEnd/>
          </a:ln>
        </xdr:spPr>
      </xdr:sp>
      <xdr:sp macro="" textlink="">
        <xdr:nvSpPr>
          <xdr:cNvPr id="52830" name="AutoShape 73">
            <a:extLst>
              <a:ext uri="{FF2B5EF4-FFF2-40B4-BE49-F238E27FC236}">
                <a16:creationId xmlns:a16="http://schemas.microsoft.com/office/drawing/2014/main" id="{00000000-0008-0000-0D00-00005ECE0000}"/>
              </a:ext>
            </a:extLst>
          </xdr:cNvPr>
          <xdr:cNvSpPr>
            <a:spLocks noChangeArrowheads="1"/>
          </xdr:cNvSpPr>
        </xdr:nvSpPr>
        <xdr:spPr bwMode="auto">
          <a:xfrm>
            <a:off x="804" y="172"/>
            <a:ext cx="109" cy="27"/>
          </a:xfrm>
          <a:prstGeom prst="flowChartManualOperation">
            <a:avLst/>
          </a:prstGeom>
          <a:solidFill>
            <a:srgbClr val="CCFFFF"/>
          </a:solidFill>
          <a:ln w="9525">
            <a:solidFill>
              <a:srgbClr val="000000"/>
            </a:solidFill>
            <a:miter lim="800000"/>
            <a:headEnd/>
            <a:tailEnd/>
          </a:ln>
        </xdr:spPr>
      </xdr:sp>
      <xdr:sp macro="" textlink="">
        <xdr:nvSpPr>
          <xdr:cNvPr id="52831" name="Rectangle 74">
            <a:extLst>
              <a:ext uri="{FF2B5EF4-FFF2-40B4-BE49-F238E27FC236}">
                <a16:creationId xmlns:a16="http://schemas.microsoft.com/office/drawing/2014/main" id="{00000000-0008-0000-0D00-00005FCE0000}"/>
              </a:ext>
            </a:extLst>
          </xdr:cNvPr>
          <xdr:cNvSpPr>
            <a:spLocks noChangeArrowheads="1"/>
          </xdr:cNvSpPr>
        </xdr:nvSpPr>
        <xdr:spPr bwMode="auto">
          <a:xfrm>
            <a:off x="825" y="198"/>
            <a:ext cx="66" cy="43"/>
          </a:xfrm>
          <a:prstGeom prst="rect">
            <a:avLst/>
          </a:prstGeom>
          <a:solidFill>
            <a:srgbClr val="FFFFFF"/>
          </a:solidFill>
          <a:ln w="9525">
            <a:solidFill>
              <a:srgbClr val="000000"/>
            </a:solidFill>
            <a:miter lim="800000"/>
            <a:headEnd/>
            <a:tailEnd/>
          </a:ln>
        </xdr:spPr>
      </xdr:sp>
      <xdr:sp macro="" textlink="">
        <xdr:nvSpPr>
          <xdr:cNvPr id="52832" name="Rectangle 75">
            <a:extLst>
              <a:ext uri="{FF2B5EF4-FFF2-40B4-BE49-F238E27FC236}">
                <a16:creationId xmlns:a16="http://schemas.microsoft.com/office/drawing/2014/main" id="{00000000-0008-0000-0D00-000060CE0000}"/>
              </a:ext>
            </a:extLst>
          </xdr:cNvPr>
          <xdr:cNvSpPr>
            <a:spLocks noChangeArrowheads="1"/>
          </xdr:cNvSpPr>
        </xdr:nvSpPr>
        <xdr:spPr bwMode="auto">
          <a:xfrm>
            <a:off x="852" y="199"/>
            <a:ext cx="16" cy="41"/>
          </a:xfrm>
          <a:prstGeom prst="rect">
            <a:avLst/>
          </a:prstGeom>
          <a:solidFill>
            <a:srgbClr val="CCFFFF"/>
          </a:solidFill>
          <a:ln w="9525">
            <a:solidFill>
              <a:srgbClr val="000000"/>
            </a:solidFill>
            <a:miter lim="800000"/>
            <a:headEnd/>
            <a:tailEnd/>
          </a:ln>
        </xdr:spPr>
      </xdr:sp>
      <xdr:sp macro="" textlink="">
        <xdr:nvSpPr>
          <xdr:cNvPr id="52833" name="Line 76">
            <a:extLst>
              <a:ext uri="{FF2B5EF4-FFF2-40B4-BE49-F238E27FC236}">
                <a16:creationId xmlns:a16="http://schemas.microsoft.com/office/drawing/2014/main" id="{00000000-0008-0000-0D00-000061CE0000}"/>
              </a:ext>
            </a:extLst>
          </xdr:cNvPr>
          <xdr:cNvSpPr>
            <a:spLocks noChangeShapeType="1"/>
          </xdr:cNvSpPr>
        </xdr:nvSpPr>
        <xdr:spPr bwMode="auto">
          <a:xfrm flipV="1">
            <a:off x="860" y="227"/>
            <a:ext cx="0" cy="32"/>
          </a:xfrm>
          <a:prstGeom prst="line">
            <a:avLst/>
          </a:prstGeom>
          <a:noFill/>
          <a:ln w="9525">
            <a:solidFill>
              <a:srgbClr val="000000"/>
            </a:solidFill>
            <a:round/>
            <a:headEnd/>
            <a:tailEnd type="triangle" w="med" len="med"/>
          </a:ln>
        </xdr:spPr>
      </xdr:sp>
      <xdr:sp macro="" textlink="">
        <xdr:nvSpPr>
          <xdr:cNvPr id="52301" name="Text Box 77">
            <a:extLst>
              <a:ext uri="{FF2B5EF4-FFF2-40B4-BE49-F238E27FC236}">
                <a16:creationId xmlns:a16="http://schemas.microsoft.com/office/drawing/2014/main" id="{00000000-0008-0000-0D00-00004DCC0000}"/>
              </a:ext>
            </a:extLst>
          </xdr:cNvPr>
          <xdr:cNvSpPr txBox="1">
            <a:spLocks noChangeArrowheads="1"/>
          </xdr:cNvSpPr>
        </xdr:nvSpPr>
        <xdr:spPr bwMode="auto">
          <a:xfrm>
            <a:off x="807" y="252"/>
            <a:ext cx="36" cy="1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Water</a:t>
            </a:r>
            <a:endParaRPr lang="en-US"/>
          </a:p>
        </xdr:txBody>
      </xdr:sp>
      <xdr:sp macro="" textlink="">
        <xdr:nvSpPr>
          <xdr:cNvPr id="52835" name="Line 78">
            <a:extLst>
              <a:ext uri="{FF2B5EF4-FFF2-40B4-BE49-F238E27FC236}">
                <a16:creationId xmlns:a16="http://schemas.microsoft.com/office/drawing/2014/main" id="{00000000-0008-0000-0D00-000063CE0000}"/>
              </a:ext>
            </a:extLst>
          </xdr:cNvPr>
          <xdr:cNvSpPr>
            <a:spLocks noChangeShapeType="1"/>
          </xdr:cNvSpPr>
        </xdr:nvSpPr>
        <xdr:spPr bwMode="auto">
          <a:xfrm>
            <a:off x="920" y="145"/>
            <a:ext cx="0" cy="24"/>
          </a:xfrm>
          <a:prstGeom prst="line">
            <a:avLst/>
          </a:prstGeom>
          <a:noFill/>
          <a:ln w="9525">
            <a:solidFill>
              <a:srgbClr val="000000"/>
            </a:solidFill>
            <a:round/>
            <a:headEnd type="triangle" w="med" len="med"/>
            <a:tailEnd type="triangle" w="med" len="med"/>
          </a:ln>
        </xdr:spPr>
      </xdr:sp>
      <xdr:sp macro="" textlink="">
        <xdr:nvSpPr>
          <xdr:cNvPr id="52303" name="Text Box 79">
            <a:extLst>
              <a:ext uri="{FF2B5EF4-FFF2-40B4-BE49-F238E27FC236}">
                <a16:creationId xmlns:a16="http://schemas.microsoft.com/office/drawing/2014/main" id="{00000000-0008-0000-0D00-00004FCC0000}"/>
              </a:ext>
            </a:extLst>
          </xdr:cNvPr>
          <xdr:cNvSpPr txBox="1">
            <a:spLocks noChangeArrowheads="1"/>
          </xdr:cNvSpPr>
        </xdr:nvSpPr>
        <xdr:spPr bwMode="auto">
          <a:xfrm>
            <a:off x="935" y="133"/>
            <a:ext cx="107" cy="3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lnSpc>
                <a:spcPts val="1000"/>
              </a:lnSpc>
              <a:defRPr sz="1000"/>
            </a:pPr>
            <a:r>
              <a:rPr lang="en-US" sz="1000" b="0" i="0" u="none" strike="noStrike" baseline="0">
                <a:solidFill>
                  <a:srgbClr val="000000"/>
                </a:solidFill>
                <a:latin typeface="Arial"/>
                <a:cs typeface="Arial"/>
              </a:rPr>
              <a:t>Tank must operate</a:t>
            </a:r>
          </a:p>
          <a:p>
            <a:pPr algn="ctr" rtl="0">
              <a:lnSpc>
                <a:spcPts val="1000"/>
              </a:lnSpc>
              <a:defRPr sz="1000"/>
            </a:pPr>
            <a:r>
              <a:rPr lang="en-US" sz="1000" b="0" i="0" u="none" strike="noStrike" baseline="0">
                <a:solidFill>
                  <a:srgbClr val="000000"/>
                </a:solidFill>
                <a:latin typeface="Arial"/>
                <a:cs typeface="Arial"/>
              </a:rPr>
              <a:t>within this range</a:t>
            </a:r>
            <a:endParaRPr lang="en-US"/>
          </a:p>
        </xdr:txBody>
      </xdr:sp>
      <xdr:sp macro="" textlink="">
        <xdr:nvSpPr>
          <xdr:cNvPr id="52837" name="Line 80">
            <a:extLst>
              <a:ext uri="{FF2B5EF4-FFF2-40B4-BE49-F238E27FC236}">
                <a16:creationId xmlns:a16="http://schemas.microsoft.com/office/drawing/2014/main" id="{00000000-0008-0000-0D00-000065CE0000}"/>
              </a:ext>
            </a:extLst>
          </xdr:cNvPr>
          <xdr:cNvSpPr>
            <a:spLocks noChangeShapeType="1"/>
          </xdr:cNvSpPr>
        </xdr:nvSpPr>
        <xdr:spPr bwMode="auto">
          <a:xfrm>
            <a:off x="921" y="171"/>
            <a:ext cx="0" cy="27"/>
          </a:xfrm>
          <a:prstGeom prst="line">
            <a:avLst/>
          </a:prstGeom>
          <a:noFill/>
          <a:ln w="9525">
            <a:solidFill>
              <a:srgbClr val="FF0000"/>
            </a:solidFill>
            <a:round/>
            <a:headEnd type="triangle" w="med" len="med"/>
            <a:tailEnd type="triangle" w="med" len="med"/>
          </a:ln>
        </xdr:spPr>
      </xdr:sp>
    </xdr:grpSp>
    <xdr:clientData/>
  </xdr:twoCellAnchor>
  <xdr:twoCellAnchor editAs="oneCell">
    <xdr:from>
      <xdr:col>3</xdr:col>
      <xdr:colOff>523875</xdr:colOff>
      <xdr:row>54</xdr:row>
      <xdr:rowOff>85725</xdr:rowOff>
    </xdr:from>
    <xdr:to>
      <xdr:col>4</xdr:col>
      <xdr:colOff>9525</xdr:colOff>
      <xdr:row>55</xdr:row>
      <xdr:rowOff>133350</xdr:rowOff>
    </xdr:to>
    <xdr:sp macro="" textlink="">
      <xdr:nvSpPr>
        <xdr:cNvPr id="66" name="Text Box 52">
          <a:extLst>
            <a:ext uri="{FF2B5EF4-FFF2-40B4-BE49-F238E27FC236}">
              <a16:creationId xmlns:a16="http://schemas.microsoft.com/office/drawing/2014/main" id="{00000000-0008-0000-0D00-000042000000}"/>
            </a:ext>
          </a:extLst>
        </xdr:cNvPr>
        <xdr:cNvSpPr txBox="1">
          <a:spLocks noChangeArrowheads="1"/>
        </xdr:cNvSpPr>
      </xdr:nvSpPr>
      <xdr:spPr bwMode="auto">
        <a:xfrm>
          <a:off x="1524000" y="10563225"/>
          <a:ext cx="95250" cy="2095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4016BD81-BFF5-4DC0-AAB7-2250B9AF2738}"/>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68620" name="Chart 3">
          <a:extLst>
            <a:ext uri="{FF2B5EF4-FFF2-40B4-BE49-F238E27FC236}">
              <a16:creationId xmlns:a16="http://schemas.microsoft.com/office/drawing/2014/main" id="{00000000-0008-0000-0300-00000C0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69644" name="Chart 3">
          <a:extLst>
            <a:ext uri="{FF2B5EF4-FFF2-40B4-BE49-F238E27FC236}">
              <a16:creationId xmlns:a16="http://schemas.microsoft.com/office/drawing/2014/main" id="{00000000-0008-0000-0400-00000C1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0668" name="Chart 3">
          <a:extLst>
            <a:ext uri="{FF2B5EF4-FFF2-40B4-BE49-F238E27FC236}">
              <a16:creationId xmlns:a16="http://schemas.microsoft.com/office/drawing/2014/main" id="{00000000-0008-0000-0500-00000C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1692" name="Chart 3">
          <a:extLst>
            <a:ext uri="{FF2B5EF4-FFF2-40B4-BE49-F238E27FC236}">
              <a16:creationId xmlns:a16="http://schemas.microsoft.com/office/drawing/2014/main" id="{00000000-0008-0000-0600-00000C1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2716" name="Chart 3">
          <a:extLst>
            <a:ext uri="{FF2B5EF4-FFF2-40B4-BE49-F238E27FC236}">
              <a16:creationId xmlns:a16="http://schemas.microsoft.com/office/drawing/2014/main" id="{00000000-0008-0000-0700-00000C1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3740" name="Chart 3">
          <a:extLst>
            <a:ext uri="{FF2B5EF4-FFF2-40B4-BE49-F238E27FC236}">
              <a16:creationId xmlns:a16="http://schemas.microsoft.com/office/drawing/2014/main" id="{00000000-0008-0000-0800-00000C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5788" name="Chart 3">
          <a:extLst>
            <a:ext uri="{FF2B5EF4-FFF2-40B4-BE49-F238E27FC236}">
              <a16:creationId xmlns:a16="http://schemas.microsoft.com/office/drawing/2014/main" id="{00000000-0008-0000-0900-00000C2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1019175</xdr:colOff>
      <xdr:row>4</xdr:row>
      <xdr:rowOff>9525</xdr:rowOff>
    </xdr:from>
    <xdr:to>
      <xdr:col>8</xdr:col>
      <xdr:colOff>1171575</xdr:colOff>
      <xdr:row>13</xdr:row>
      <xdr:rowOff>19050</xdr:rowOff>
    </xdr:to>
    <xdr:graphicFrame macro="">
      <xdr:nvGraphicFramePr>
        <xdr:cNvPr id="76812" name="Chart 3">
          <a:extLst>
            <a:ext uri="{FF2B5EF4-FFF2-40B4-BE49-F238E27FC236}">
              <a16:creationId xmlns:a16="http://schemas.microsoft.com/office/drawing/2014/main" id="{00000000-0008-0000-0A00-00000C2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W53"/>
  <sheetViews>
    <sheetView showGridLines="0" zoomScale="115" zoomScaleNormal="115" workbookViewId="0">
      <selection activeCell="B23" sqref="B23"/>
    </sheetView>
  </sheetViews>
  <sheetFormatPr defaultRowHeight="12.75" x14ac:dyDescent="0.2"/>
  <cols>
    <col min="1" max="1" width="1.140625" style="193" customWidth="1"/>
    <col min="2" max="2" width="4.5703125" customWidth="1"/>
    <col min="3" max="17" width="9.140625" customWidth="1"/>
    <col min="18" max="18" width="4.5703125" customWidth="1"/>
    <col min="20" max="43" width="9.140625" style="30"/>
    <col min="44" max="101" width="9.140625" style="31"/>
  </cols>
  <sheetData>
    <row r="1" spans="1:101" ht="5.25" customHeight="1" thickBot="1" x14ac:dyDescent="0.25"/>
    <row r="2" spans="1:101" ht="15.75" thickBot="1" x14ac:dyDescent="0.25">
      <c r="B2" s="383" t="s">
        <v>244</v>
      </c>
      <c r="C2" s="384"/>
      <c r="D2" s="384"/>
      <c r="E2" s="384"/>
      <c r="F2" s="384"/>
      <c r="G2" s="384"/>
      <c r="H2" s="384"/>
      <c r="I2" s="384"/>
      <c r="J2" s="384"/>
      <c r="K2" s="384"/>
      <c r="L2" s="384"/>
      <c r="M2" s="384"/>
      <c r="N2" s="384"/>
      <c r="O2" s="384"/>
      <c r="P2" s="384"/>
      <c r="Q2" s="384"/>
      <c r="R2" s="385"/>
      <c r="S2" s="30"/>
    </row>
    <row r="3" spans="1:101" s="9" customFormat="1" ht="15.75" thickBot="1" x14ac:dyDescent="0.25">
      <c r="A3" s="193"/>
      <c r="B3" s="240" t="s">
        <v>134</v>
      </c>
      <c r="C3" s="119"/>
      <c r="D3" s="119"/>
      <c r="E3" s="119"/>
      <c r="F3" s="119"/>
      <c r="G3" s="119"/>
      <c r="H3" s="119"/>
      <c r="I3" s="119"/>
      <c r="J3" s="121"/>
      <c r="K3" s="121"/>
      <c r="L3" s="121"/>
      <c r="M3" s="122"/>
      <c r="N3" s="122"/>
      <c r="O3" s="122"/>
      <c r="P3" s="122"/>
      <c r="Q3" s="122"/>
      <c r="R3" s="181"/>
      <c r="S3" s="30"/>
      <c r="T3" s="30"/>
      <c r="U3" s="30"/>
      <c r="V3" s="30"/>
      <c r="W3" s="30"/>
      <c r="X3" s="30"/>
      <c r="Y3" s="30"/>
      <c r="Z3" s="30"/>
      <c r="AA3" s="30"/>
      <c r="AB3" s="30"/>
      <c r="AC3" s="30"/>
      <c r="AD3" s="30"/>
      <c r="AE3" s="30"/>
      <c r="AF3" s="30"/>
      <c r="AG3" s="30"/>
      <c r="AH3" s="30"/>
      <c r="AI3" s="30"/>
      <c r="AJ3" s="30"/>
      <c r="AK3" s="30"/>
      <c r="AL3" s="30"/>
      <c r="AM3" s="30"/>
      <c r="AN3" s="30"/>
      <c r="AO3" s="30"/>
      <c r="AP3" s="30"/>
      <c r="AQ3" s="30"/>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row>
    <row r="4" spans="1:101" ht="25.5" customHeight="1" x14ac:dyDescent="0.2">
      <c r="B4" s="364" t="s">
        <v>135</v>
      </c>
      <c r="C4" s="365"/>
      <c r="D4" s="365"/>
      <c r="E4" s="365"/>
      <c r="F4" s="365"/>
      <c r="G4" s="365"/>
      <c r="H4" s="365"/>
      <c r="I4" s="365"/>
      <c r="J4" s="365"/>
      <c r="K4" s="365"/>
      <c r="L4" s="365"/>
      <c r="M4" s="365"/>
      <c r="N4" s="365"/>
      <c r="O4" s="365"/>
      <c r="P4" s="365"/>
      <c r="Q4" s="365"/>
      <c r="R4" s="366"/>
      <c r="S4" s="30"/>
    </row>
    <row r="5" spans="1:101" ht="25.5" customHeight="1" thickBot="1" x14ac:dyDescent="0.25">
      <c r="B5" s="367" t="s">
        <v>136</v>
      </c>
      <c r="C5" s="368"/>
      <c r="D5" s="368"/>
      <c r="E5" s="368"/>
      <c r="F5" s="368"/>
      <c r="G5" s="368"/>
      <c r="H5" s="368"/>
      <c r="I5" s="368"/>
      <c r="J5" s="368"/>
      <c r="K5" s="368"/>
      <c r="L5" s="368"/>
      <c r="M5" s="368"/>
      <c r="N5" s="368"/>
      <c r="O5" s="368"/>
      <c r="P5" s="368"/>
      <c r="Q5" s="368"/>
      <c r="R5" s="369"/>
      <c r="S5" s="30"/>
    </row>
    <row r="6" spans="1:101" s="9" customFormat="1" ht="15.75" thickBot="1" x14ac:dyDescent="0.25">
      <c r="A6" s="193"/>
      <c r="B6" s="240" t="s">
        <v>157</v>
      </c>
      <c r="C6" s="119"/>
      <c r="D6" s="119"/>
      <c r="E6" s="119"/>
      <c r="F6" s="119"/>
      <c r="G6" s="119"/>
      <c r="H6" s="119"/>
      <c r="I6" s="119"/>
      <c r="J6" s="121"/>
      <c r="K6" s="121"/>
      <c r="L6" s="121"/>
      <c r="M6" s="122"/>
      <c r="N6" s="122"/>
      <c r="O6" s="122"/>
      <c r="P6" s="122"/>
      <c r="Q6" s="122"/>
      <c r="R6" s="181"/>
      <c r="S6" s="30"/>
      <c r="T6" s="30"/>
      <c r="U6" s="30"/>
      <c r="V6" s="30"/>
      <c r="W6" s="30"/>
      <c r="X6" s="30"/>
      <c r="Y6" s="30"/>
      <c r="Z6" s="30"/>
      <c r="AA6" s="30"/>
      <c r="AB6" s="30"/>
      <c r="AC6" s="30"/>
      <c r="AD6" s="30"/>
      <c r="AE6" s="30"/>
      <c r="AF6" s="30"/>
      <c r="AG6" s="30"/>
      <c r="AH6" s="30"/>
      <c r="AI6" s="30"/>
      <c r="AJ6" s="30"/>
      <c r="AK6" s="30"/>
      <c r="AL6" s="30"/>
      <c r="AM6" s="30"/>
      <c r="AN6" s="30"/>
      <c r="AO6" s="30"/>
      <c r="AP6" s="30"/>
      <c r="AQ6" s="30"/>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row>
    <row r="7" spans="1:101" s="10" customFormat="1" x14ac:dyDescent="0.2">
      <c r="A7" s="194"/>
      <c r="B7" s="195" t="s">
        <v>137</v>
      </c>
      <c r="C7" s="194"/>
      <c r="D7" s="194"/>
      <c r="E7" s="194"/>
      <c r="F7" s="194"/>
      <c r="G7" s="194"/>
      <c r="H7" s="194"/>
      <c r="I7" s="194"/>
      <c r="J7" s="194"/>
      <c r="K7" s="194"/>
      <c r="L7" s="194"/>
      <c r="M7" s="194"/>
      <c r="N7" s="194"/>
      <c r="O7" s="194"/>
      <c r="P7" s="194"/>
      <c r="Q7" s="194"/>
      <c r="R7" s="262"/>
    </row>
    <row r="8" spans="1:101" s="10" customFormat="1" x14ac:dyDescent="0.2">
      <c r="A8" s="194"/>
      <c r="B8" s="195" t="s">
        <v>155</v>
      </c>
      <c r="C8" s="196"/>
      <c r="D8" s="196"/>
      <c r="E8" s="196"/>
      <c r="F8" s="196"/>
      <c r="G8" s="196"/>
      <c r="H8" s="196"/>
      <c r="I8" s="196"/>
      <c r="J8" s="196"/>
      <c r="K8" s="196"/>
      <c r="L8" s="196"/>
      <c r="M8" s="196"/>
      <c r="N8" s="196"/>
      <c r="O8" s="196"/>
      <c r="P8" s="196"/>
      <c r="Q8" s="196"/>
      <c r="R8" s="263"/>
    </row>
    <row r="9" spans="1:101" s="10" customFormat="1" x14ac:dyDescent="0.2">
      <c r="A9" s="194"/>
      <c r="B9" s="195" t="s">
        <v>156</v>
      </c>
      <c r="C9" s="196"/>
      <c r="D9" s="196"/>
      <c r="E9" s="196"/>
      <c r="F9" s="196"/>
      <c r="G9" s="196"/>
      <c r="H9" s="196"/>
      <c r="I9" s="196"/>
      <c r="J9" s="196"/>
      <c r="K9" s="196"/>
      <c r="L9" s="196"/>
      <c r="M9" s="196"/>
      <c r="N9" s="196"/>
      <c r="O9" s="196"/>
      <c r="P9" s="196"/>
      <c r="Q9" s="196"/>
      <c r="R9" s="263"/>
    </row>
    <row r="10" spans="1:101" s="10" customFormat="1" x14ac:dyDescent="0.2">
      <c r="A10" s="194"/>
      <c r="B10" s="195" t="s">
        <v>159</v>
      </c>
      <c r="C10" s="196"/>
      <c r="D10" s="196"/>
      <c r="E10" s="196"/>
      <c r="F10" s="196"/>
      <c r="G10" s="196"/>
      <c r="H10" s="196"/>
      <c r="I10" s="196"/>
      <c r="J10" s="196"/>
      <c r="K10" s="196"/>
      <c r="L10" s="196"/>
      <c r="M10" s="196"/>
      <c r="N10" s="196"/>
      <c r="O10" s="196"/>
      <c r="P10" s="196"/>
      <c r="Q10" s="196"/>
      <c r="R10" s="263"/>
    </row>
    <row r="11" spans="1:101" s="10" customFormat="1" x14ac:dyDescent="0.2">
      <c r="A11" s="194"/>
      <c r="B11" s="195" t="s">
        <v>138</v>
      </c>
      <c r="C11" s="196"/>
      <c r="D11" s="196"/>
      <c r="E11" s="196"/>
      <c r="F11" s="196"/>
      <c r="G11" s="196"/>
      <c r="H11" s="196"/>
      <c r="I11" s="196"/>
      <c r="J11" s="196"/>
      <c r="K11" s="196"/>
      <c r="L11" s="196"/>
      <c r="M11" s="196"/>
      <c r="N11" s="196"/>
      <c r="O11" s="196"/>
      <c r="P11" s="196"/>
      <c r="Q11" s="196"/>
      <c r="R11" s="263"/>
    </row>
    <row r="12" spans="1:101" s="10" customFormat="1" x14ac:dyDescent="0.2">
      <c r="A12" s="194"/>
      <c r="B12" s="195" t="s">
        <v>219</v>
      </c>
      <c r="C12" s="196"/>
      <c r="D12" s="196"/>
      <c r="E12" s="196"/>
      <c r="F12" s="196"/>
      <c r="G12" s="196"/>
      <c r="H12" s="196"/>
      <c r="I12" s="196"/>
      <c r="J12" s="196"/>
      <c r="K12" s="196"/>
      <c r="L12" s="196"/>
      <c r="M12" s="196"/>
      <c r="N12" s="196"/>
      <c r="O12" s="196"/>
      <c r="P12" s="196"/>
      <c r="Q12" s="196"/>
      <c r="R12" s="263"/>
    </row>
    <row r="13" spans="1:101" s="10" customFormat="1" x14ac:dyDescent="0.2">
      <c r="A13" s="194"/>
      <c r="B13" s="195" t="s">
        <v>139</v>
      </c>
      <c r="C13" s="196"/>
      <c r="D13" s="196"/>
      <c r="E13" s="196"/>
      <c r="F13" s="196"/>
      <c r="G13" s="196"/>
      <c r="H13" s="196"/>
      <c r="I13" s="196"/>
      <c r="J13" s="196"/>
      <c r="K13" s="196"/>
      <c r="L13" s="196"/>
      <c r="M13" s="196"/>
      <c r="N13" s="196"/>
      <c r="O13" s="196"/>
      <c r="P13" s="196"/>
      <c r="Q13" s="196"/>
      <c r="R13" s="263"/>
    </row>
    <row r="14" spans="1:101" s="10" customFormat="1" x14ac:dyDescent="0.2">
      <c r="A14" s="194"/>
      <c r="B14" s="195" t="s">
        <v>140</v>
      </c>
      <c r="C14" s="196"/>
      <c r="D14" s="196"/>
      <c r="E14" s="196"/>
      <c r="F14" s="196"/>
      <c r="G14" s="196"/>
      <c r="H14" s="196"/>
      <c r="I14" s="196"/>
      <c r="J14" s="196"/>
      <c r="K14" s="196"/>
      <c r="L14" s="196"/>
      <c r="M14" s="196"/>
      <c r="N14" s="196"/>
      <c r="O14" s="196"/>
      <c r="P14" s="196"/>
      <c r="Q14" s="196"/>
      <c r="R14" s="263"/>
    </row>
    <row r="15" spans="1:101" s="10" customFormat="1" ht="13.5" thickBot="1" x14ac:dyDescent="0.25">
      <c r="A15" s="194"/>
      <c r="B15" s="195" t="s">
        <v>220</v>
      </c>
      <c r="C15" s="196"/>
      <c r="D15" s="196"/>
      <c r="E15" s="196"/>
      <c r="F15" s="196"/>
      <c r="G15" s="196"/>
      <c r="H15" s="196"/>
      <c r="I15" s="196"/>
      <c r="J15" s="196"/>
      <c r="K15" s="196"/>
      <c r="L15" s="196"/>
      <c r="M15" s="196"/>
      <c r="N15" s="196"/>
      <c r="O15" s="196"/>
      <c r="P15" s="196"/>
      <c r="Q15" s="196"/>
      <c r="R15" s="263"/>
    </row>
    <row r="16" spans="1:101" s="9" customFormat="1" ht="15.75" thickBot="1" x14ac:dyDescent="0.25">
      <c r="A16" s="193"/>
      <c r="B16" s="120" t="s">
        <v>141</v>
      </c>
      <c r="C16" s="119"/>
      <c r="D16" s="119"/>
      <c r="E16" s="119"/>
      <c r="F16" s="119"/>
      <c r="G16" s="119"/>
      <c r="H16" s="119"/>
      <c r="I16" s="119"/>
      <c r="J16" s="121"/>
      <c r="K16" s="121"/>
      <c r="L16" s="121"/>
      <c r="M16" s="122"/>
      <c r="N16" s="122"/>
      <c r="O16" s="122"/>
      <c r="P16" s="122"/>
      <c r="Q16" s="122"/>
      <c r="R16" s="181"/>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row>
    <row r="17" spans="1:101" s="183" customFormat="1" x14ac:dyDescent="0.2">
      <c r="A17" s="197"/>
      <c r="B17" s="364" t="s">
        <v>142</v>
      </c>
      <c r="C17" s="365"/>
      <c r="D17" s="365"/>
      <c r="E17" s="365"/>
      <c r="F17" s="365"/>
      <c r="G17" s="365"/>
      <c r="H17" s="365"/>
      <c r="I17" s="365"/>
      <c r="J17" s="365"/>
      <c r="K17" s="365"/>
      <c r="L17" s="365"/>
      <c r="M17" s="365"/>
      <c r="N17" s="365"/>
      <c r="O17" s="365"/>
      <c r="P17" s="365"/>
      <c r="Q17" s="365"/>
      <c r="R17" s="366"/>
    </row>
    <row r="18" spans="1:101" s="183" customFormat="1" ht="15" x14ac:dyDescent="0.2">
      <c r="A18" s="197"/>
      <c r="B18" s="182" t="s">
        <v>143</v>
      </c>
      <c r="C18" s="184"/>
      <c r="D18" s="184"/>
      <c r="E18" s="184"/>
      <c r="F18" s="184"/>
      <c r="G18" s="184"/>
      <c r="H18" s="184"/>
      <c r="I18" s="184"/>
      <c r="J18" s="185"/>
      <c r="K18" s="185"/>
      <c r="L18" s="185"/>
      <c r="R18" s="264"/>
    </row>
    <row r="19" spans="1:101" s="183" customFormat="1" ht="15" x14ac:dyDescent="0.2">
      <c r="A19" s="197"/>
      <c r="B19" s="182" t="s">
        <v>144</v>
      </c>
      <c r="C19" s="184"/>
      <c r="D19" s="184"/>
      <c r="E19" s="184"/>
      <c r="F19" s="184"/>
      <c r="G19" s="184"/>
      <c r="H19" s="184"/>
      <c r="I19" s="184"/>
      <c r="J19" s="185"/>
      <c r="K19" s="185"/>
      <c r="L19" s="185"/>
      <c r="R19" s="264"/>
    </row>
    <row r="20" spans="1:101" s="183" customFormat="1" ht="15" x14ac:dyDescent="0.2">
      <c r="A20" s="197"/>
      <c r="B20" s="357" t="s">
        <v>252</v>
      </c>
      <c r="C20" s="184"/>
      <c r="D20" s="184"/>
      <c r="E20" s="184"/>
      <c r="F20" s="184"/>
      <c r="G20" s="184"/>
      <c r="H20" s="184"/>
      <c r="I20" s="184"/>
      <c r="J20" s="185"/>
      <c r="K20" s="185"/>
      <c r="L20" s="185"/>
      <c r="R20" s="264"/>
    </row>
    <row r="21" spans="1:101" s="183" customFormat="1" ht="15" x14ac:dyDescent="0.2">
      <c r="A21" s="197"/>
      <c r="B21" s="182" t="s">
        <v>146</v>
      </c>
      <c r="C21" s="184"/>
      <c r="D21" s="184"/>
      <c r="E21" s="184"/>
      <c r="F21" s="184"/>
      <c r="G21" s="184"/>
      <c r="H21" s="184"/>
      <c r="I21" s="184"/>
      <c r="J21" s="185"/>
      <c r="K21" s="185"/>
      <c r="L21" s="185"/>
      <c r="R21" s="264"/>
    </row>
    <row r="22" spans="1:101" s="183" customFormat="1" ht="15" x14ac:dyDescent="0.2">
      <c r="A22" s="197"/>
      <c r="B22" s="182" t="s">
        <v>144</v>
      </c>
      <c r="C22" s="184"/>
      <c r="D22" s="184"/>
      <c r="E22" s="184"/>
      <c r="F22" s="184"/>
      <c r="G22" s="184"/>
      <c r="H22" s="184"/>
      <c r="I22" s="184"/>
      <c r="J22" s="185"/>
      <c r="K22" s="185"/>
      <c r="L22" s="185"/>
      <c r="R22" s="264"/>
    </row>
    <row r="23" spans="1:101" s="183" customFormat="1" ht="15" x14ac:dyDescent="0.2">
      <c r="A23" s="197"/>
      <c r="B23" s="182" t="s">
        <v>145</v>
      </c>
      <c r="C23" s="184"/>
      <c r="D23" s="184"/>
      <c r="E23" s="184"/>
      <c r="F23" s="184"/>
      <c r="G23" s="184"/>
      <c r="H23" s="184"/>
      <c r="I23" s="184"/>
      <c r="J23" s="185"/>
      <c r="K23" s="185"/>
      <c r="L23" s="185"/>
      <c r="R23" s="264"/>
    </row>
    <row r="24" spans="1:101" s="183" customFormat="1" ht="15" x14ac:dyDescent="0.2">
      <c r="A24" s="197"/>
      <c r="B24" s="182" t="s">
        <v>147</v>
      </c>
      <c r="C24" s="184"/>
      <c r="D24" s="184"/>
      <c r="E24" s="184"/>
      <c r="F24" s="184"/>
      <c r="G24" s="184"/>
      <c r="H24" s="184"/>
      <c r="I24" s="184"/>
      <c r="J24" s="185"/>
      <c r="K24" s="185"/>
      <c r="L24" s="185"/>
      <c r="R24" s="264"/>
    </row>
    <row r="25" spans="1:101" s="183" customFormat="1" ht="15" x14ac:dyDescent="0.2">
      <c r="A25" s="197"/>
      <c r="B25" s="182" t="s">
        <v>148</v>
      </c>
      <c r="C25" s="184"/>
      <c r="D25" s="184"/>
      <c r="E25" s="184"/>
      <c r="F25" s="184"/>
      <c r="G25" s="184"/>
      <c r="H25" s="184"/>
      <c r="I25" s="184"/>
      <c r="J25" s="185"/>
      <c r="K25" s="185"/>
      <c r="L25" s="185"/>
      <c r="R25" s="264"/>
    </row>
    <row r="26" spans="1:101" s="183" customFormat="1" ht="15" x14ac:dyDescent="0.2">
      <c r="A26" s="197"/>
      <c r="B26" s="182" t="s">
        <v>149</v>
      </c>
      <c r="C26" s="184"/>
      <c r="D26" s="184"/>
      <c r="E26" s="184"/>
      <c r="F26" s="184"/>
      <c r="G26" s="184"/>
      <c r="H26" s="184"/>
      <c r="I26" s="184"/>
      <c r="J26" s="185"/>
      <c r="K26" s="185"/>
      <c r="L26" s="185"/>
      <c r="R26" s="264"/>
    </row>
    <row r="27" spans="1:101" s="183" customFormat="1" ht="15.75" thickBot="1" x14ac:dyDescent="0.25">
      <c r="A27" s="197"/>
      <c r="B27" s="357" t="s">
        <v>249</v>
      </c>
      <c r="C27" s="276"/>
      <c r="D27" s="276"/>
      <c r="E27" s="276"/>
      <c r="F27" s="276"/>
      <c r="G27" s="276"/>
      <c r="H27" s="276"/>
      <c r="I27" s="276"/>
      <c r="J27" s="277"/>
      <c r="K27" s="277"/>
      <c r="L27" s="277"/>
      <c r="M27" s="278"/>
      <c r="N27" s="278"/>
      <c r="O27" s="278"/>
      <c r="P27" s="278"/>
      <c r="Q27" s="278"/>
      <c r="R27" s="279"/>
    </row>
    <row r="28" spans="1:101" s="9" customFormat="1" ht="15.75" thickBot="1" x14ac:dyDescent="0.25">
      <c r="A28" s="193"/>
      <c r="B28" s="120" t="s">
        <v>225</v>
      </c>
      <c r="C28" s="119"/>
      <c r="D28" s="119"/>
      <c r="E28" s="119"/>
      <c r="F28" s="119"/>
      <c r="G28" s="119"/>
      <c r="H28" s="119"/>
      <c r="I28" s="119"/>
      <c r="J28" s="121"/>
      <c r="K28" s="121"/>
      <c r="L28" s="121"/>
      <c r="M28" s="122"/>
      <c r="N28" s="122"/>
      <c r="O28" s="122"/>
      <c r="P28" s="122"/>
      <c r="Q28" s="386"/>
      <c r="R28" s="387"/>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row>
    <row r="29" spans="1:101" ht="15" x14ac:dyDescent="0.2">
      <c r="B29" s="370">
        <v>37918</v>
      </c>
      <c r="C29" s="371"/>
      <c r="D29" s="340" t="s">
        <v>226</v>
      </c>
      <c r="E29" s="340"/>
      <c r="F29" s="340"/>
      <c r="G29" s="340"/>
      <c r="H29" s="340"/>
      <c r="I29" s="340"/>
      <c r="J29" s="340"/>
      <c r="K29" s="341"/>
      <c r="L29" s="342"/>
      <c r="M29" s="342"/>
      <c r="N29" s="342"/>
      <c r="O29" s="343"/>
      <c r="P29" s="343"/>
      <c r="Q29" s="343"/>
      <c r="R29" s="336"/>
    </row>
    <row r="30" spans="1:101" ht="15" x14ac:dyDescent="0.2">
      <c r="B30" s="372">
        <v>38243</v>
      </c>
      <c r="C30" s="373"/>
      <c r="D30" s="340" t="s">
        <v>227</v>
      </c>
      <c r="E30" s="340"/>
      <c r="F30" s="340"/>
      <c r="G30" s="340"/>
      <c r="H30" s="340"/>
      <c r="I30" s="340"/>
      <c r="J30" s="340"/>
      <c r="K30" s="341"/>
      <c r="L30" s="342"/>
      <c r="M30" s="342"/>
      <c r="N30" s="342"/>
      <c r="O30" s="344"/>
      <c r="P30" s="344"/>
      <c r="Q30" s="344"/>
      <c r="R30" s="338"/>
    </row>
    <row r="31" spans="1:101" ht="15" x14ac:dyDescent="0.2">
      <c r="B31" s="372">
        <v>38266</v>
      </c>
      <c r="C31" s="373"/>
      <c r="D31" s="340" t="s">
        <v>228</v>
      </c>
      <c r="E31" s="340"/>
      <c r="F31" s="340"/>
      <c r="G31" s="340"/>
      <c r="H31" s="340"/>
      <c r="I31" s="340"/>
      <c r="J31" s="340"/>
      <c r="K31" s="341"/>
      <c r="L31" s="342"/>
      <c r="M31" s="342"/>
      <c r="N31" s="342"/>
      <c r="O31" s="344"/>
      <c r="P31" s="344"/>
      <c r="Q31" s="344"/>
      <c r="R31" s="338"/>
    </row>
    <row r="32" spans="1:101" x14ac:dyDescent="0.2">
      <c r="B32" s="374">
        <v>38334</v>
      </c>
      <c r="C32" s="375"/>
      <c r="D32" s="342" t="s">
        <v>229</v>
      </c>
      <c r="E32" s="342"/>
      <c r="F32" s="342"/>
      <c r="G32" s="342"/>
      <c r="H32" s="342"/>
      <c r="I32" s="342"/>
      <c r="J32" s="342"/>
      <c r="K32" s="342"/>
      <c r="L32" s="342"/>
      <c r="M32" s="342"/>
      <c r="N32" s="342"/>
      <c r="O32" s="344"/>
      <c r="P32" s="344"/>
      <c r="Q32" s="344"/>
      <c r="R32" s="338"/>
    </row>
    <row r="33" spans="2:18" x14ac:dyDescent="0.2">
      <c r="B33" s="374">
        <v>38379</v>
      </c>
      <c r="C33" s="375"/>
      <c r="D33" s="342" t="s">
        <v>230</v>
      </c>
      <c r="E33" s="342"/>
      <c r="F33" s="342"/>
      <c r="G33" s="342"/>
      <c r="H33" s="342"/>
      <c r="I33" s="342"/>
      <c r="J33" s="342"/>
      <c r="K33" s="342"/>
      <c r="L33" s="342"/>
      <c r="M33" s="342"/>
      <c r="N33" s="342"/>
      <c r="O33" s="344"/>
      <c r="P33" s="344"/>
      <c r="Q33" s="344"/>
      <c r="R33" s="338"/>
    </row>
    <row r="34" spans="2:18" x14ac:dyDescent="0.2">
      <c r="B34" s="374">
        <v>38538</v>
      </c>
      <c r="C34" s="375"/>
      <c r="D34" s="345" t="s">
        <v>231</v>
      </c>
      <c r="E34" s="342"/>
      <c r="F34" s="342"/>
      <c r="G34" s="342"/>
      <c r="H34" s="342"/>
      <c r="I34" s="342"/>
      <c r="J34" s="342"/>
      <c r="K34" s="342"/>
      <c r="L34" s="342"/>
      <c r="M34" s="342"/>
      <c r="N34" s="342"/>
      <c r="O34" s="344"/>
      <c r="P34" s="344"/>
      <c r="Q34" s="344"/>
      <c r="R34" s="338"/>
    </row>
    <row r="35" spans="2:18" x14ac:dyDescent="0.2">
      <c r="B35" s="374">
        <v>38617</v>
      </c>
      <c r="C35" s="375"/>
      <c r="D35" s="345" t="s">
        <v>232</v>
      </c>
      <c r="E35" s="342"/>
      <c r="F35" s="342"/>
      <c r="G35" s="342"/>
      <c r="H35" s="342"/>
      <c r="I35" s="342"/>
      <c r="J35" s="342"/>
      <c r="K35" s="342"/>
      <c r="L35" s="342"/>
      <c r="M35" s="342"/>
      <c r="N35" s="342"/>
      <c r="O35" s="344"/>
      <c r="P35" s="344"/>
      <c r="Q35" s="344"/>
      <c r="R35" s="338"/>
    </row>
    <row r="36" spans="2:18" x14ac:dyDescent="0.2">
      <c r="B36" s="374">
        <v>38736</v>
      </c>
      <c r="C36" s="375"/>
      <c r="D36" s="388" t="s">
        <v>233</v>
      </c>
      <c r="E36" s="388"/>
      <c r="F36" s="388"/>
      <c r="G36" s="388"/>
      <c r="H36" s="388"/>
      <c r="I36" s="388"/>
      <c r="J36" s="388"/>
      <c r="K36" s="388"/>
      <c r="L36" s="388"/>
      <c r="M36" s="388"/>
      <c r="N36" s="388"/>
      <c r="O36" s="344"/>
      <c r="P36" s="344"/>
      <c r="Q36" s="344"/>
      <c r="R36" s="338"/>
    </row>
    <row r="37" spans="2:18" x14ac:dyDescent="0.2">
      <c r="B37" s="374">
        <v>38972</v>
      </c>
      <c r="C37" s="375"/>
      <c r="D37" s="342" t="s">
        <v>234</v>
      </c>
      <c r="E37" s="342"/>
      <c r="F37" s="342"/>
      <c r="G37" s="342"/>
      <c r="H37" s="342"/>
      <c r="I37" s="342"/>
      <c r="J37" s="342"/>
      <c r="K37" s="342"/>
      <c r="L37" s="342"/>
      <c r="M37" s="342"/>
      <c r="N37" s="342"/>
      <c r="O37" s="344"/>
      <c r="P37" s="344"/>
      <c r="Q37" s="344"/>
      <c r="R37" s="338"/>
    </row>
    <row r="38" spans="2:18" x14ac:dyDescent="0.2">
      <c r="B38" s="374">
        <v>39351</v>
      </c>
      <c r="C38" s="375"/>
      <c r="D38" s="342" t="s">
        <v>235</v>
      </c>
      <c r="E38" s="342"/>
      <c r="F38" s="342"/>
      <c r="G38" s="342"/>
      <c r="H38" s="342"/>
      <c r="I38" s="342"/>
      <c r="J38" s="342"/>
      <c r="K38" s="342"/>
      <c r="L38" s="342"/>
      <c r="M38" s="342"/>
      <c r="N38" s="342"/>
      <c r="O38" s="344"/>
      <c r="P38" s="344"/>
      <c r="Q38" s="344"/>
      <c r="R38" s="338"/>
    </row>
    <row r="39" spans="2:18" x14ac:dyDescent="0.2">
      <c r="B39" s="374">
        <v>39912</v>
      </c>
      <c r="C39" s="375"/>
      <c r="D39" s="389" t="s">
        <v>236</v>
      </c>
      <c r="E39" s="389"/>
      <c r="F39" s="389"/>
      <c r="G39" s="389"/>
      <c r="H39" s="389"/>
      <c r="I39" s="389"/>
      <c r="J39" s="389"/>
      <c r="K39" s="389"/>
      <c r="L39" s="389"/>
      <c r="M39" s="389"/>
      <c r="N39" s="389"/>
      <c r="O39" s="344"/>
      <c r="P39" s="344"/>
      <c r="Q39" s="344"/>
      <c r="R39" s="338"/>
    </row>
    <row r="40" spans="2:18" x14ac:dyDescent="0.2">
      <c r="B40" s="374">
        <v>40219</v>
      </c>
      <c r="C40" s="375"/>
      <c r="D40" s="389" t="s">
        <v>237</v>
      </c>
      <c r="E40" s="389"/>
      <c r="F40" s="389"/>
      <c r="G40" s="389"/>
      <c r="H40" s="389"/>
      <c r="I40" s="389"/>
      <c r="J40" s="389"/>
      <c r="K40" s="389"/>
      <c r="L40" s="389"/>
      <c r="M40" s="389"/>
      <c r="N40" s="389"/>
      <c r="O40" s="344"/>
      <c r="P40" s="344"/>
      <c r="Q40" s="344"/>
      <c r="R40" s="338"/>
    </row>
    <row r="41" spans="2:18" x14ac:dyDescent="0.2">
      <c r="B41" s="374">
        <v>40260</v>
      </c>
      <c r="C41" s="375"/>
      <c r="D41" s="389" t="s">
        <v>238</v>
      </c>
      <c r="E41" s="389"/>
      <c r="F41" s="389"/>
      <c r="G41" s="389"/>
      <c r="H41" s="389"/>
      <c r="I41" s="389"/>
      <c r="J41" s="389"/>
      <c r="K41" s="389"/>
      <c r="L41" s="389"/>
      <c r="M41" s="389"/>
      <c r="N41" s="389"/>
      <c r="O41" s="389"/>
      <c r="P41" s="389"/>
      <c r="Q41" s="389"/>
      <c r="R41" s="338"/>
    </row>
    <row r="42" spans="2:18" x14ac:dyDescent="0.2">
      <c r="B42" s="346"/>
      <c r="C42" s="344"/>
      <c r="D42" s="389"/>
      <c r="E42" s="389"/>
      <c r="F42" s="389"/>
      <c r="G42" s="389"/>
      <c r="H42" s="389"/>
      <c r="I42" s="389"/>
      <c r="J42" s="389"/>
      <c r="K42" s="389"/>
      <c r="L42" s="389"/>
      <c r="M42" s="389"/>
      <c r="N42" s="389"/>
      <c r="O42" s="389"/>
      <c r="P42" s="389"/>
      <c r="Q42" s="389"/>
      <c r="R42" s="338"/>
    </row>
    <row r="43" spans="2:18" ht="12.75" customHeight="1" x14ac:dyDescent="0.2">
      <c r="B43" s="376">
        <v>41361</v>
      </c>
      <c r="C43" s="377"/>
      <c r="D43" s="382" t="s">
        <v>239</v>
      </c>
      <c r="E43" s="382"/>
      <c r="F43" s="382"/>
      <c r="G43" s="382"/>
      <c r="H43" s="382"/>
      <c r="I43" s="382"/>
      <c r="J43" s="382"/>
      <c r="K43" s="382"/>
      <c r="L43" s="382"/>
      <c r="M43" s="382"/>
      <c r="N43" s="382"/>
      <c r="O43" s="382"/>
      <c r="P43" s="382"/>
      <c r="Q43" s="382"/>
      <c r="R43" s="338"/>
    </row>
    <row r="44" spans="2:18" x14ac:dyDescent="0.2">
      <c r="B44" s="339"/>
      <c r="C44" s="337"/>
      <c r="D44" s="382"/>
      <c r="E44" s="382"/>
      <c r="F44" s="382"/>
      <c r="G44" s="382"/>
      <c r="H44" s="382"/>
      <c r="I44" s="382"/>
      <c r="J44" s="382"/>
      <c r="K44" s="382"/>
      <c r="L44" s="382"/>
      <c r="M44" s="382"/>
      <c r="N44" s="382"/>
      <c r="O44" s="382"/>
      <c r="P44" s="382"/>
      <c r="Q44" s="382"/>
      <c r="R44" s="338"/>
    </row>
    <row r="45" spans="2:18" x14ac:dyDescent="0.2">
      <c r="B45" s="339"/>
      <c r="C45" s="337"/>
      <c r="D45" s="382"/>
      <c r="E45" s="382"/>
      <c r="F45" s="382"/>
      <c r="G45" s="382"/>
      <c r="H45" s="382"/>
      <c r="I45" s="382"/>
      <c r="J45" s="382"/>
      <c r="K45" s="382"/>
      <c r="L45" s="382"/>
      <c r="M45" s="382"/>
      <c r="N45" s="382"/>
      <c r="O45" s="382"/>
      <c r="P45" s="382"/>
      <c r="Q45" s="382"/>
      <c r="R45" s="338"/>
    </row>
    <row r="46" spans="2:18" x14ac:dyDescent="0.2">
      <c r="B46" s="339"/>
      <c r="C46" s="337"/>
      <c r="D46" s="382"/>
      <c r="E46" s="382"/>
      <c r="F46" s="382"/>
      <c r="G46" s="382"/>
      <c r="H46" s="382"/>
      <c r="I46" s="382"/>
      <c r="J46" s="382"/>
      <c r="K46" s="382"/>
      <c r="L46" s="382"/>
      <c r="M46" s="382"/>
      <c r="N46" s="382"/>
      <c r="O46" s="382"/>
      <c r="P46" s="382"/>
      <c r="Q46" s="382"/>
      <c r="R46" s="338"/>
    </row>
    <row r="47" spans="2:18" ht="15" customHeight="1" x14ac:dyDescent="0.2">
      <c r="B47" s="380">
        <v>41744</v>
      </c>
      <c r="C47" s="381"/>
      <c r="D47" s="356" t="s">
        <v>248</v>
      </c>
      <c r="E47" s="354"/>
      <c r="F47" s="354"/>
      <c r="G47" s="354"/>
      <c r="H47" s="354"/>
      <c r="I47" s="354"/>
      <c r="J47" s="354"/>
      <c r="K47" s="354"/>
      <c r="L47" s="354"/>
      <c r="M47" s="354"/>
      <c r="N47" s="353"/>
      <c r="O47" s="353"/>
      <c r="P47" s="353"/>
      <c r="Q47" s="353"/>
      <c r="R47" s="338"/>
    </row>
    <row r="48" spans="2:18" ht="15" customHeight="1" thickBot="1" x14ac:dyDescent="0.25">
      <c r="B48" s="378">
        <v>43434</v>
      </c>
      <c r="C48" s="379"/>
      <c r="D48" s="356" t="s">
        <v>251</v>
      </c>
      <c r="E48" s="354"/>
      <c r="F48" s="354"/>
      <c r="G48" s="354"/>
      <c r="H48" s="354"/>
      <c r="I48" s="354"/>
      <c r="J48" s="354"/>
      <c r="K48" s="354"/>
      <c r="L48" s="354"/>
      <c r="M48" s="354"/>
      <c r="N48" s="355"/>
      <c r="O48" s="355"/>
      <c r="P48" s="355"/>
      <c r="Q48" s="355"/>
      <c r="R48" s="338"/>
    </row>
    <row r="49" spans="2:18" ht="15.75" thickBot="1" x14ac:dyDescent="0.25">
      <c r="B49" s="120" t="s">
        <v>107</v>
      </c>
      <c r="C49" s="119"/>
      <c r="D49" s="119"/>
      <c r="E49" s="119"/>
      <c r="F49" s="119"/>
      <c r="G49" s="119"/>
      <c r="H49" s="119"/>
      <c r="I49" s="119"/>
      <c r="J49" s="121"/>
      <c r="K49" s="121"/>
      <c r="L49" s="121"/>
      <c r="M49" s="122"/>
      <c r="N49" s="122"/>
      <c r="O49" s="122"/>
      <c r="P49" s="122"/>
      <c r="Q49" s="122"/>
      <c r="R49" s="181"/>
    </row>
    <row r="50" spans="2:18" ht="25.5" customHeight="1" x14ac:dyDescent="0.2">
      <c r="B50" s="361" t="s">
        <v>109</v>
      </c>
      <c r="C50" s="362"/>
      <c r="D50" s="362"/>
      <c r="E50" s="362"/>
      <c r="F50" s="362"/>
      <c r="G50" s="362"/>
      <c r="H50" s="362"/>
      <c r="I50" s="362"/>
      <c r="J50" s="362"/>
      <c r="K50" s="362"/>
      <c r="L50" s="362"/>
      <c r="M50" s="362"/>
      <c r="N50" s="362"/>
      <c r="O50" s="362"/>
      <c r="P50" s="362"/>
      <c r="Q50" s="362"/>
      <c r="R50" s="363"/>
    </row>
    <row r="51" spans="2:18" ht="25.5" customHeight="1" x14ac:dyDescent="0.2">
      <c r="B51" s="361" t="s">
        <v>108</v>
      </c>
      <c r="C51" s="362"/>
      <c r="D51" s="362"/>
      <c r="E51" s="362"/>
      <c r="F51" s="362"/>
      <c r="G51" s="362"/>
      <c r="H51" s="362"/>
      <c r="I51" s="362"/>
      <c r="J51" s="362"/>
      <c r="K51" s="362"/>
      <c r="L51" s="362"/>
      <c r="M51" s="362"/>
      <c r="N51" s="362"/>
      <c r="O51" s="362"/>
      <c r="P51" s="362"/>
      <c r="Q51" s="362"/>
      <c r="R51" s="363"/>
    </row>
    <row r="52" spans="2:18" ht="25.5" customHeight="1" x14ac:dyDescent="0.2">
      <c r="B52" s="361" t="s">
        <v>110</v>
      </c>
      <c r="C52" s="362"/>
      <c r="D52" s="362"/>
      <c r="E52" s="362"/>
      <c r="F52" s="362"/>
      <c r="G52" s="362"/>
      <c r="H52" s="362"/>
      <c r="I52" s="362"/>
      <c r="J52" s="362"/>
      <c r="K52" s="362"/>
      <c r="L52" s="362"/>
      <c r="M52" s="362"/>
      <c r="N52" s="362"/>
      <c r="O52" s="362"/>
      <c r="P52" s="362"/>
      <c r="Q52" s="362"/>
      <c r="R52" s="363"/>
    </row>
    <row r="53" spans="2:18" ht="13.5" thickBot="1" x14ac:dyDescent="0.25">
      <c r="B53" s="265" t="s">
        <v>113</v>
      </c>
      <c r="C53" s="126"/>
      <c r="D53" s="126"/>
      <c r="E53" s="126"/>
      <c r="F53" s="126"/>
      <c r="G53" s="126"/>
      <c r="H53" s="126"/>
      <c r="I53" s="126"/>
      <c r="J53" s="126"/>
      <c r="K53" s="126"/>
      <c r="L53" s="126"/>
      <c r="M53" s="126"/>
      <c r="N53" s="126"/>
      <c r="O53" s="126"/>
      <c r="P53" s="126"/>
      <c r="Q53" s="126"/>
      <c r="R53" s="125"/>
    </row>
  </sheetData>
  <mergeCells count="29">
    <mergeCell ref="B48:C48"/>
    <mergeCell ref="B47:C47"/>
    <mergeCell ref="D43:Q46"/>
    <mergeCell ref="B2:R2"/>
    <mergeCell ref="Q28:R28"/>
    <mergeCell ref="B38:C38"/>
    <mergeCell ref="B39:C39"/>
    <mergeCell ref="B40:C40"/>
    <mergeCell ref="B41:C41"/>
    <mergeCell ref="D36:N36"/>
    <mergeCell ref="D39:N39"/>
    <mergeCell ref="D40:N40"/>
    <mergeCell ref="D41:Q42"/>
    <mergeCell ref="B50:R50"/>
    <mergeCell ref="B51:R51"/>
    <mergeCell ref="B52:R52"/>
    <mergeCell ref="B4:R4"/>
    <mergeCell ref="B5:R5"/>
    <mergeCell ref="B17:R17"/>
    <mergeCell ref="B29:C29"/>
    <mergeCell ref="B30:C30"/>
    <mergeCell ref="B31:C31"/>
    <mergeCell ref="B32:C32"/>
    <mergeCell ref="B33:C33"/>
    <mergeCell ref="B34:C34"/>
    <mergeCell ref="B35:C35"/>
    <mergeCell ref="B36:C36"/>
    <mergeCell ref="B37:C37"/>
    <mergeCell ref="B43:C43"/>
  </mergeCells>
  <phoneticPr fontId="0" type="noConversion"/>
  <printOptions horizontalCentered="1"/>
  <pageMargins left="0.75" right="0.75" top="1" bottom="1" header="0.5" footer="0.5"/>
  <pageSetup scale="67"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141"/>
  <sheetViews>
    <sheetView showGridLines="0" zoomScale="80" zoomScaleNormal="80" workbookViewId="0"/>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115</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Summary'!R11</f>
        <v>0</v>
      </c>
      <c r="E5" s="104"/>
      <c r="F5" s="104"/>
      <c r="G5" s="8"/>
      <c r="H5" s="8"/>
      <c r="I5" s="8"/>
      <c r="J5" s="8"/>
      <c r="K5" s="8"/>
      <c r="L5" s="8"/>
      <c r="M5" s="8"/>
      <c r="N5" s="8"/>
      <c r="O5" s="105"/>
    </row>
    <row r="6" spans="2:15" ht="15.95" customHeight="1" x14ac:dyDescent="0.2">
      <c r="B6" s="103"/>
      <c r="C6" s="163" t="s">
        <v>114</v>
      </c>
      <c r="D6" s="170">
        <f>'Tank Summary'!R12</f>
        <v>0</v>
      </c>
      <c r="E6" s="104"/>
      <c r="F6" s="104"/>
      <c r="G6" s="8"/>
      <c r="H6" s="8"/>
      <c r="I6" s="8"/>
      <c r="J6" s="8"/>
      <c r="K6" s="8"/>
      <c r="L6" s="8"/>
      <c r="M6" s="8"/>
      <c r="N6" s="8"/>
      <c r="O6" s="105"/>
    </row>
    <row r="7" spans="2:15" ht="40.5" customHeight="1" x14ac:dyDescent="0.2">
      <c r="B7" s="103"/>
      <c r="C7" s="171" t="s">
        <v>77</v>
      </c>
      <c r="D7" s="95">
        <f>'Tank Summary'!R13</f>
        <v>0</v>
      </c>
      <c r="E7" s="166"/>
      <c r="F7" s="104"/>
      <c r="G7" s="167"/>
      <c r="H7" s="8"/>
      <c r="I7" s="8"/>
      <c r="J7" s="8"/>
      <c r="K7" s="8"/>
      <c r="L7" s="8"/>
      <c r="M7" s="8"/>
      <c r="N7" s="8"/>
      <c r="O7" s="105"/>
    </row>
    <row r="8" spans="2:15" ht="39.75" customHeight="1" x14ac:dyDescent="0.2">
      <c r="B8" s="103"/>
      <c r="C8" s="171" t="s">
        <v>80</v>
      </c>
      <c r="D8" s="172">
        <f>'Tank Summary'!R14</f>
        <v>0</v>
      </c>
      <c r="E8" s="166"/>
      <c r="F8" s="104"/>
      <c r="G8" s="167"/>
      <c r="H8" s="8"/>
      <c r="I8" s="8"/>
      <c r="J8" s="8"/>
      <c r="K8" s="8"/>
      <c r="L8" s="8"/>
      <c r="M8" s="8"/>
      <c r="N8" s="8"/>
      <c r="O8" s="105"/>
    </row>
    <row r="9" spans="2:15" ht="18" customHeight="1" x14ac:dyDescent="0.2">
      <c r="B9" s="103"/>
      <c r="C9" s="163" t="str">
        <f>IF(OR(D7="c",D7="r",D7="h"),"Maximum Water Depth, H:","")</f>
        <v/>
      </c>
      <c r="D9" s="173">
        <f>'Tank Summary'!R19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Summary'!R16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Summary'!R17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Summary'!R21</f>
        <v>#DIV/0!</v>
      </c>
      <c r="E12" s="420"/>
      <c r="F12" s="421"/>
      <c r="G12" s="167"/>
      <c r="H12" s="8"/>
      <c r="I12" s="8"/>
      <c r="J12" s="8"/>
      <c r="K12" s="8"/>
      <c r="L12" s="8"/>
      <c r="M12" s="8"/>
      <c r="N12" s="8"/>
      <c r="O12" s="105"/>
    </row>
    <row r="13" spans="2:15" ht="18" customHeight="1" x14ac:dyDescent="0.2">
      <c r="B13" s="103"/>
      <c r="C13" s="168" t="s">
        <v>11</v>
      </c>
      <c r="D13" s="95">
        <f>'Tank Summary'!R18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Summary'!$R$15="y",10.2,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Summary'!$R$15="y",10.2,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Summary'!$R$15="y",10.2,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Summary'!$R$15="y",10.2,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Summary'!$R$15="y",10.2,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Summary'!$R$15="y",10.2,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Summary'!$R$15="y",10.2,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Summary'!$R$15="y",10.2,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Summary'!$R$15="y",10.2,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Summary'!$R$15="y",10.2,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Summary'!$R$15="y",10.2,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Summary'!$R$15="y",10.2,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Summary'!$R$15="y",10.2,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Summary'!$R$15="y",10.2,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Summary'!$R$15="y",10.2,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Summary'!R15="n","",SUM(D53:D67)/SUM(B53:B67))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Summary'!R15="n","",AVERAGE(J53:J67))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Summary'!R15="n","",AVERAGE(L53:L67))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Summary'!R15="n","",(SUM(E53:E67)/SUM(B53:B67))-J70)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Summary'!R15="n","",$J$70*J72)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Summary'!R15="n","",J73/J74)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Summary'!R15="n","",(((((SUM(F53:F67)/SUM(B53:B67))*10^6/7.48)^(1/3))*$J$71)/9)*12)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6" t="e">
        <f>IF('Tank Summary'!R15="n","",IF(J73&lt;J74,"Mixing is at an undesirable level, use Mixing Analysis (Section II) to determine strategies that will increase mixing.","Mixing is at a desired level."))</f>
        <v>#DIV/0!</v>
      </c>
      <c r="J77" s="436"/>
      <c r="K77" s="436"/>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'Tank#7'!D10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'Tank#7'!D11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'Tank#7'!D13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IF(D9="y","","ft")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'Tank#7'!J73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Summary'!$R$15="y",10.2, IF(D97/$D$10&lt;=1,10.2,IF(D97/$D$10&gt;1,3.58*(D97/$D$10)+6.66)))</f>
        <v>#DIV/0!</v>
      </c>
      <c r="E101" s="135" t="e">
        <f>IF('Tank Summary'!$R$15="y",10.2, IF(E97/$D$10&lt;=1,10.2,IF(E97/$D$10&gt;1,3.58*(E97/$D$10)+6.66)))</f>
        <v>#DIV/0!</v>
      </c>
      <c r="F101" s="135" t="e">
        <f>IF('Tank Summary'!$R$15="y",10.2, IF(F97/$D$10&lt;=1,10.2,IF(F97/$D$10&gt;1,3.58*(F97/$D$10)+6.66)))</f>
        <v>#DIV/0!</v>
      </c>
      <c r="G101" s="135" t="e">
        <f>IF('Tank Summary'!$R$15="y",10.2, IF(G97/$D$10&lt;=1,10.2,IF(G97/$D$10&gt;1,3.58*(G97/$D$10)+6.66)))</f>
        <v>#DIV/0!</v>
      </c>
      <c r="H101" s="135" t="e">
        <f>IF('Tank Summary'!$R$15="y",10.2, IF(H97/$D$10&lt;=1,10.2,IF(H97/$D$10&gt;1,3.58*(H97/$D$10)+6.66)))</f>
        <v>#DIV/0!</v>
      </c>
      <c r="I101" s="135" t="e">
        <f>IF('Tank Summary'!$R$15="y",10.2,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'Tank#7'!J74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'Tank#7'!E74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'Tank#7'!E75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'Tank#7'!E72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'Tank#7'!E73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'Tank#7'!E70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'Tank#7'!E76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'Tank#7'!$E$77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'Tank#7'!$E$78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'Tank#7'!J75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'Tank#7'!$E$79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4.7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E11:F12"/>
    <mergeCell ref="B2:O2"/>
    <mergeCell ref="C137:I141"/>
    <mergeCell ref="D80:F83"/>
    <mergeCell ref="E48:F49"/>
    <mergeCell ref="H74:I74"/>
    <mergeCell ref="H76:I76"/>
    <mergeCell ref="I77:L80"/>
    <mergeCell ref="H75:I75"/>
    <mergeCell ref="J50:L50"/>
    <mergeCell ref="K51:K52"/>
    <mergeCell ref="H69:K69"/>
  </mergeCells>
  <phoneticPr fontId="0" type="noConversion"/>
  <conditionalFormatting sqref="D112:I112">
    <cfRule type="cellIs" dxfId="23" priority="7" stopIfTrue="1" operator="greaterThanOrEqual">
      <formula>1</formula>
    </cfRule>
    <cfRule type="cellIs" dxfId="22" priority="8" stopIfTrue="1" operator="lessThan">
      <formula>1</formula>
    </cfRule>
  </conditionalFormatting>
  <conditionalFormatting sqref="D113:I113">
    <cfRule type="cellIs" dxfId="21" priority="5" stopIfTrue="1" operator="greaterThan">
      <formula>5</formula>
    </cfRule>
    <cfRule type="cellIs" dxfId="20" priority="6" stopIfTrue="1" operator="lessThanOrEqual">
      <formula>5</formula>
    </cfRule>
  </conditionalFormatting>
  <conditionalFormatting sqref="E79">
    <cfRule type="cellIs" dxfId="19" priority="3" stopIfTrue="1" operator="lessThanOrEqual">
      <formula>5</formula>
    </cfRule>
    <cfRule type="cellIs" dxfId="18" priority="4" stopIfTrue="1" operator="greaterThan">
      <formula>5</formula>
    </cfRule>
  </conditionalFormatting>
  <conditionalFormatting sqref="J75">
    <cfRule type="cellIs" dxfId="17" priority="1" stopIfTrue="1" operator="greaterThanOrEqual">
      <formula>1</formula>
    </cfRule>
    <cfRule type="cellIs" dxfId="16"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141"/>
  <sheetViews>
    <sheetView showGridLines="0" zoomScale="80" zoomScaleNormal="80" workbookViewId="0"/>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116</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Summary'!S11</f>
        <v>0</v>
      </c>
      <c r="E5" s="104"/>
      <c r="F5" s="104"/>
      <c r="G5" s="8"/>
      <c r="H5" s="8"/>
      <c r="I5" s="8"/>
      <c r="J5" s="8"/>
      <c r="K5" s="8"/>
      <c r="L5" s="8"/>
      <c r="M5" s="8"/>
      <c r="N5" s="8"/>
      <c r="O5" s="105"/>
    </row>
    <row r="6" spans="2:15" ht="15.95" customHeight="1" x14ac:dyDescent="0.2">
      <c r="B6" s="103"/>
      <c r="C6" s="163" t="s">
        <v>114</v>
      </c>
      <c r="D6" s="170">
        <f>'Tank Summary'!S12</f>
        <v>0</v>
      </c>
      <c r="E6" s="104"/>
      <c r="F6" s="104"/>
      <c r="G6" s="8"/>
      <c r="H6" s="8"/>
      <c r="I6" s="8"/>
      <c r="J6" s="8"/>
      <c r="K6" s="8"/>
      <c r="L6" s="8"/>
      <c r="M6" s="8"/>
      <c r="N6" s="8"/>
      <c r="O6" s="105"/>
    </row>
    <row r="7" spans="2:15" ht="40.5" customHeight="1" x14ac:dyDescent="0.2">
      <c r="B7" s="103"/>
      <c r="C7" s="171" t="s">
        <v>77</v>
      </c>
      <c r="D7" s="95">
        <f>'Tank Summary'!S13</f>
        <v>0</v>
      </c>
      <c r="E7" s="166"/>
      <c r="F7" s="104"/>
      <c r="G7" s="167"/>
      <c r="H7" s="8"/>
      <c r="I7" s="8"/>
      <c r="J7" s="8"/>
      <c r="K7" s="8"/>
      <c r="L7" s="8"/>
      <c r="M7" s="8"/>
      <c r="N7" s="8"/>
      <c r="O7" s="105"/>
    </row>
    <row r="8" spans="2:15" ht="39.75" customHeight="1" x14ac:dyDescent="0.2">
      <c r="B8" s="103"/>
      <c r="C8" s="171" t="s">
        <v>80</v>
      </c>
      <c r="D8" s="172">
        <f>'Tank Summary'!S14</f>
        <v>0</v>
      </c>
      <c r="E8" s="166"/>
      <c r="F8" s="104"/>
      <c r="G8" s="167"/>
      <c r="H8" s="8"/>
      <c r="I8" s="8"/>
      <c r="J8" s="8"/>
      <c r="K8" s="8"/>
      <c r="L8" s="8"/>
      <c r="M8" s="8"/>
      <c r="N8" s="8"/>
      <c r="O8" s="105"/>
    </row>
    <row r="9" spans="2:15" ht="18" customHeight="1" x14ac:dyDescent="0.2">
      <c r="B9" s="103"/>
      <c r="C9" s="163" t="str">
        <f>IF(OR(D7="c",D7="r",D7="h"),"Maximum Water Depth, H:","")</f>
        <v/>
      </c>
      <c r="D9" s="173">
        <f>'Tank Summary'!S19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Summary'!S16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Summary'!S17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Summary'!S21</f>
        <v>#DIV/0!</v>
      </c>
      <c r="E12" s="420"/>
      <c r="F12" s="421"/>
      <c r="G12" s="167"/>
      <c r="H12" s="8"/>
      <c r="I12" s="8"/>
      <c r="J12" s="8"/>
      <c r="K12" s="8"/>
      <c r="L12" s="8"/>
      <c r="M12" s="8"/>
      <c r="N12" s="8"/>
      <c r="O12" s="105"/>
    </row>
    <row r="13" spans="2:15" ht="18" customHeight="1" x14ac:dyDescent="0.2">
      <c r="B13" s="103"/>
      <c r="C13" s="168" t="s">
        <v>11</v>
      </c>
      <c r="D13" s="95">
        <f>'Tank Summary'!S18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Summary'!$S$15="y",10.2,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Summary'!$S$15="y",10.2,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Summary'!$S$15="y",10.2,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Summary'!$S$15="y",10.2,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Summary'!$S$15="y",10.2,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Summary'!$S$15="y",10.2,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Summary'!$S$15="y",10.2,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Summary'!$S$15="y",10.2,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Summary'!$S$15="y",10.2,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Summary'!$S$15="y",10.2,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Summary'!$S$15="y",10.2,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Summary'!$S$15="y",10.2,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Summary'!$S$15="y",10.2,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Summary'!$S$15="y",10.2,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Summary'!$S$15="y",10.2,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Summary'!S15="n","",SUM(D53:D67)/SUM(B53:B67))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Summary'!S15="n","",AVERAGE(J53:J67))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Summary'!S15="n","",AVERAGE(L53:L67))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Summary'!S15="n","",(SUM(E53:E67)/SUM(B53:B67))-J70)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Summary'!S15="n","",$J$70*J72)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Summary'!S15="n","",J73/J74)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Summary'!S15="n","",(((((SUM(F53:F67)/SUM(B53:B67))*10^6/7.48)^(1/3))*$J$71)/9)*12)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6" t="e">
        <f>IF('Tank Summary'!S15="n","",IF(J73&lt;J74,"Mixing is at an undesirable level, use Mixing Analysis (Section II) to determine strategies that will increase mixing.","Mixing is at a desired level."))</f>
        <v>#DIV/0!</v>
      </c>
      <c r="J77" s="436"/>
      <c r="K77" s="436"/>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'Tank#8'!D10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'Tank#8'!D11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'Tank#8'!D13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IF(D9="y","","ft")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'Tank#8'!J73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Summary'!$S$15="y",10.2, IF(D97/$D$10&lt;=1,10.2,IF(D97/$D$10&gt;1,3.58*(D97/$D$10)+6.66)))</f>
        <v>#DIV/0!</v>
      </c>
      <c r="E101" s="135" t="e">
        <f>IF('Tank Summary'!$S$15="y",10.2, IF(E97/$D$10&lt;=1,10.2,IF(E97/$D$10&gt;1,3.58*(E97/$D$10)+6.66)))</f>
        <v>#DIV/0!</v>
      </c>
      <c r="F101" s="135" t="e">
        <f>IF('Tank Summary'!$S$15="y",10.2, IF(F97/$D$10&lt;=1,10.2,IF(F97/$D$10&gt;1,3.58*(F97/$D$10)+6.66)))</f>
        <v>#DIV/0!</v>
      </c>
      <c r="G101" s="135" t="e">
        <f>IF('Tank Summary'!$S$15="y",10.2, IF(G97/$D$10&lt;=1,10.2,IF(G97/$D$10&gt;1,3.58*(G97/$D$10)+6.66)))</f>
        <v>#DIV/0!</v>
      </c>
      <c r="H101" s="135" t="e">
        <f>IF('Tank Summary'!$S$15="y",10.2, IF(H97/$D$10&lt;=1,10.2,IF(H97/$D$10&gt;1,3.58*(H97/$D$10)+6.66)))</f>
        <v>#DIV/0!</v>
      </c>
      <c r="I101" s="135" t="e">
        <f>IF('Tank Summary'!$S$15="y",10.2,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'Tank#8'!J74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'Tank#8'!E74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'Tank#8'!E75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'Tank#8'!E72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'Tank#8'!E73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'Tank#8'!E70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'Tank#8'!E76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'Tank#8'!$E$77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'Tank#8'!$E$78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'Tank#8'!J75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'Tank#8'!$E$79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t="13.5" hidden="1" customHeight="1" x14ac:dyDescent="0.2">
      <c r="B136" s="103"/>
      <c r="C136" s="8" t="s">
        <v>129</v>
      </c>
      <c r="D136" s="8"/>
      <c r="E136" s="8"/>
      <c r="F136" s="8"/>
      <c r="G136" s="8"/>
      <c r="H136" s="8"/>
      <c r="I136" s="8"/>
      <c r="J136" s="8"/>
      <c r="K136" s="8"/>
      <c r="L136" s="8"/>
      <c r="M136" s="8"/>
      <c r="N136" s="8"/>
      <c r="O136" s="105"/>
    </row>
    <row r="137" spans="2:15" ht="15.75" hidden="1" customHeight="1" x14ac:dyDescent="0.2">
      <c r="B137" s="103"/>
      <c r="C137" s="422" t="s">
        <v>130</v>
      </c>
      <c r="D137" s="422"/>
      <c r="E137" s="422"/>
      <c r="F137" s="422"/>
      <c r="G137" s="422"/>
      <c r="H137" s="422"/>
      <c r="I137" s="422"/>
      <c r="J137" s="8"/>
      <c r="K137" s="8"/>
      <c r="L137" s="8"/>
      <c r="M137" s="8"/>
      <c r="N137" s="8"/>
      <c r="O137" s="105"/>
    </row>
    <row r="138" spans="2:15" ht="21" hidden="1" customHeight="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13.5" hidden="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E11:F12"/>
    <mergeCell ref="B2:O2"/>
    <mergeCell ref="C137:I141"/>
    <mergeCell ref="D80:F83"/>
    <mergeCell ref="E48:F49"/>
    <mergeCell ref="H74:I74"/>
    <mergeCell ref="H76:I76"/>
    <mergeCell ref="I77:L80"/>
    <mergeCell ref="H75:I75"/>
    <mergeCell ref="J50:L50"/>
    <mergeCell ref="K51:K52"/>
    <mergeCell ref="H69:K69"/>
  </mergeCells>
  <phoneticPr fontId="0" type="noConversion"/>
  <conditionalFormatting sqref="D112:I112">
    <cfRule type="cellIs" dxfId="15" priority="7" stopIfTrue="1" operator="greaterThanOrEqual">
      <formula>1</formula>
    </cfRule>
    <cfRule type="cellIs" dxfId="14" priority="8" stopIfTrue="1" operator="lessThan">
      <formula>1</formula>
    </cfRule>
  </conditionalFormatting>
  <conditionalFormatting sqref="D113:I113">
    <cfRule type="cellIs" dxfId="13" priority="5" stopIfTrue="1" operator="greaterThan">
      <formula>5</formula>
    </cfRule>
    <cfRule type="cellIs" dxfId="12" priority="6" stopIfTrue="1" operator="lessThanOrEqual">
      <formula>5</formula>
    </cfRule>
  </conditionalFormatting>
  <conditionalFormatting sqref="E79">
    <cfRule type="cellIs" dxfId="11" priority="3" stopIfTrue="1" operator="lessThanOrEqual">
      <formula>5</formula>
    </cfRule>
    <cfRule type="cellIs" dxfId="10" priority="4" stopIfTrue="1" operator="greaterThan">
      <formula>5</formula>
    </cfRule>
  </conditionalFormatting>
  <conditionalFormatting sqref="J75">
    <cfRule type="cellIs" dxfId="9" priority="1" stopIfTrue="1" operator="greaterThanOrEqual">
      <formula>1</formula>
    </cfRule>
    <cfRule type="cellIs" dxfId="8"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141"/>
  <sheetViews>
    <sheetView showGridLines="0" zoomScale="80" zoomScaleNormal="80" workbookViewId="0"/>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117</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Summary'!T11</f>
        <v>0</v>
      </c>
      <c r="E5" s="104"/>
      <c r="F5" s="104"/>
      <c r="G5" s="8"/>
      <c r="H5" s="8"/>
      <c r="I5" s="8"/>
      <c r="J5" s="8"/>
      <c r="K5" s="8"/>
      <c r="L5" s="8"/>
      <c r="M5" s="8"/>
      <c r="N5" s="8"/>
      <c r="O5" s="105"/>
    </row>
    <row r="6" spans="2:15" ht="15.95" customHeight="1" x14ac:dyDescent="0.2">
      <c r="B6" s="103"/>
      <c r="C6" s="163" t="s">
        <v>114</v>
      </c>
      <c r="D6" s="170">
        <f>'Tank Summary'!T12</f>
        <v>0</v>
      </c>
      <c r="E6" s="104"/>
      <c r="F6" s="104"/>
      <c r="G6" s="8"/>
      <c r="H6" s="8"/>
      <c r="I6" s="8"/>
      <c r="J6" s="8"/>
      <c r="K6" s="8"/>
      <c r="L6" s="8"/>
      <c r="M6" s="8"/>
      <c r="N6" s="8"/>
      <c r="O6" s="105"/>
    </row>
    <row r="7" spans="2:15" ht="40.5" customHeight="1" x14ac:dyDescent="0.2">
      <c r="B7" s="103"/>
      <c r="C7" s="171" t="s">
        <v>77</v>
      </c>
      <c r="D7" s="95">
        <f>'Tank Summary'!T13</f>
        <v>0</v>
      </c>
      <c r="E7" s="166"/>
      <c r="F7" s="104"/>
      <c r="G7" s="167"/>
      <c r="H7" s="8"/>
      <c r="I7" s="8"/>
      <c r="J7" s="8"/>
      <c r="K7" s="8"/>
      <c r="L7" s="8"/>
      <c r="M7" s="8"/>
      <c r="N7" s="8"/>
      <c r="O7" s="105"/>
    </row>
    <row r="8" spans="2:15" ht="39.75" customHeight="1" x14ac:dyDescent="0.2">
      <c r="B8" s="103"/>
      <c r="C8" s="171" t="s">
        <v>80</v>
      </c>
      <c r="D8" s="172">
        <f>'Tank Summary'!T14</f>
        <v>0</v>
      </c>
      <c r="E8" s="166"/>
      <c r="F8" s="104"/>
      <c r="G8" s="167"/>
      <c r="H8" s="8"/>
      <c r="I8" s="8"/>
      <c r="J8" s="8"/>
      <c r="K8" s="8"/>
      <c r="L8" s="8"/>
      <c r="M8" s="8"/>
      <c r="N8" s="8"/>
      <c r="O8" s="105"/>
    </row>
    <row r="9" spans="2:15" ht="18" customHeight="1" x14ac:dyDescent="0.2">
      <c r="B9" s="103"/>
      <c r="C9" s="163" t="str">
        <f>IF(OR(D7="c",D7="r",D7="h"),"Maximum Water Depth, H:","")</f>
        <v/>
      </c>
      <c r="D9" s="173">
        <f>'Tank Summary'!T19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Summary'!T16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Summary'!T17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Summary'!T21</f>
        <v>#DIV/0!</v>
      </c>
      <c r="E12" s="420"/>
      <c r="F12" s="421"/>
      <c r="G12" s="167"/>
      <c r="H12" s="8"/>
      <c r="I12" s="8"/>
      <c r="J12" s="8"/>
      <c r="K12" s="8"/>
      <c r="L12" s="8"/>
      <c r="M12" s="8"/>
      <c r="N12" s="8"/>
      <c r="O12" s="105"/>
    </row>
    <row r="13" spans="2:15" ht="18" customHeight="1" x14ac:dyDescent="0.2">
      <c r="B13" s="103"/>
      <c r="C13" s="168" t="s">
        <v>11</v>
      </c>
      <c r="D13" s="95">
        <f>'Tank Summary'!T18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25</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Summary'!$T$15="y",10.2,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Summary'!$T$15="y",10.2,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Summary'!$T$15="y",10.2,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Summary'!$T$15="y",10.2,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Summary'!$T$15="y",10.2,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Summary'!$T$15="y",10.2,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Summary'!$T$15="y",10.2,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Summary'!$T$15="y",10.2,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Summary'!$T$15="y",10.2,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Summary'!$T$15="y",10.2,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Summary'!$T$15="y",10.2,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Summary'!$T$15="y",10.2,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Summary'!$T$15="y",10.2,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Summary'!$T$15="y",10.2,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Summary'!$T$15="y",10.2,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Summary'!T15="n","",SUM(D53:D67)/SUM(B53:B67))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Summary'!T15="n","",AVERAGE(J53:J67))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Summary'!T15="n","",AVERAGE(L53:L67))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Summary'!T15="n","",(SUM(E53:E67)/SUM(B53:B67))-J70)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Summary'!T15="n","",$J$70*J72)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Summary'!T15="n","",J73/J74)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Summary'!T15="n","",(((((SUM(F53:F67)/SUM(B53:B67))*10^6/7.48)^(1/3))*$J$71)/9)*12)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6" t="e">
        <f>IF('Tank Summary'!T15="n","",IF(J73&lt;J74,"Mixing is at an undesirable level, use Mixing Analysis (Section II) to determine strategies that will increase mixing.","Mixing is at a desired level."))</f>
        <v>#DIV/0!</v>
      </c>
      <c r="J77" s="436"/>
      <c r="K77" s="436"/>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'Tank#9'!D10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'Tank#9'!D11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'Tank#9'!D13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IF(D9="y","","ft")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'Tank#9'!J73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Summary'!$T$15="y",10.2, IF(D97/$D$10&lt;=1,10.2,IF(D97/$D$10&gt;1,3.58*(D97/$D$10)+6.66)))</f>
        <v>#DIV/0!</v>
      </c>
      <c r="E101" s="135" t="e">
        <f>IF('Tank Summary'!$T$15="y",10.2, IF(E97/$D$10&lt;=1,10.2,IF(E97/$D$10&gt;1,3.58*(E97/$D$10)+6.66)))</f>
        <v>#DIV/0!</v>
      </c>
      <c r="F101" s="135" t="e">
        <f>IF('Tank Summary'!$T$15="y",10.2, IF(F97/$D$10&lt;=1,10.2,IF(F97/$D$10&gt;1,3.58*(F97/$D$10)+6.66)))</f>
        <v>#DIV/0!</v>
      </c>
      <c r="G101" s="135" t="e">
        <f>IF('Tank Summary'!$T$15="y",10.2, IF(G97/$D$10&lt;=1,10.2,IF(G97/$D$10&gt;1,3.58*(G97/$D$10)+6.66)))</f>
        <v>#DIV/0!</v>
      </c>
      <c r="H101" s="135" t="e">
        <f>IF('Tank Summary'!$T$15="y",10.2, IF(H97/$D$10&lt;=1,10.2,IF(H97/$D$10&gt;1,3.58*(H97/$D$10)+6.66)))</f>
        <v>#DIV/0!</v>
      </c>
      <c r="I101" s="135" t="e">
        <f>IF('Tank Summary'!$T$15="y",10.2,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'Tank#9'!J74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'Tank#9'!E74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'Tank#9'!E75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'Tank#9'!E72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'Tank#9'!E73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'Tank#9'!E70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'Tank#9'!E76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'Tank#9'!$E$77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'Tank#9'!$E$78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'Tank#9'!J75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'Tank#9'!$E$79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5.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H69:K69"/>
    <mergeCell ref="C137:I141"/>
    <mergeCell ref="E11:F12"/>
    <mergeCell ref="B2:O2"/>
    <mergeCell ref="D80:F83"/>
    <mergeCell ref="E48:F49"/>
    <mergeCell ref="H74:I74"/>
    <mergeCell ref="H76:I76"/>
    <mergeCell ref="I77:L80"/>
    <mergeCell ref="H75:I75"/>
    <mergeCell ref="J50:L50"/>
    <mergeCell ref="K51:K52"/>
  </mergeCells>
  <phoneticPr fontId="0" type="noConversion"/>
  <conditionalFormatting sqref="D112:I112">
    <cfRule type="cellIs" dxfId="7" priority="7" stopIfTrue="1" operator="greaterThanOrEqual">
      <formula>1</formula>
    </cfRule>
    <cfRule type="cellIs" dxfId="6" priority="8" stopIfTrue="1" operator="lessThan">
      <formula>1</formula>
    </cfRule>
  </conditionalFormatting>
  <conditionalFormatting sqref="D113:I113">
    <cfRule type="cellIs" dxfId="5" priority="5" stopIfTrue="1" operator="greaterThan">
      <formula>5</formula>
    </cfRule>
    <cfRule type="cellIs" dxfId="4" priority="6" stopIfTrue="1" operator="lessThanOrEqual">
      <formula>5</formula>
    </cfRule>
  </conditionalFormatting>
  <conditionalFormatting sqref="E79">
    <cfRule type="cellIs" dxfId="3" priority="3" stopIfTrue="1" operator="lessThanOrEqual">
      <formula>5</formula>
    </cfRule>
    <cfRule type="cellIs" dxfId="2" priority="4" stopIfTrue="1" operator="greaterThan">
      <formula>5</formula>
    </cfRule>
  </conditionalFormatting>
  <conditionalFormatting sqref="J75">
    <cfRule type="cellIs" dxfId="1" priority="1" stopIfTrue="1" operator="greaterThanOrEqual">
      <formula>1</formula>
    </cfRule>
    <cfRule type="cellIs" dxfId="0"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X151"/>
  <sheetViews>
    <sheetView zoomScaleNormal="100" workbookViewId="0">
      <selection activeCell="U9" sqref="U9"/>
    </sheetView>
  </sheetViews>
  <sheetFormatPr defaultRowHeight="12.75" x14ac:dyDescent="0.2"/>
  <cols>
    <col min="1" max="1" width="1.140625" style="191" customWidth="1"/>
    <col min="2" max="2" width="2.28515625" style="191" customWidth="1"/>
    <col min="3" max="3" width="8" style="191" customWidth="1"/>
    <col min="4" max="4" width="10.28515625" style="191" customWidth="1"/>
    <col min="5" max="16" width="9.140625" style="191" customWidth="1"/>
    <col min="17" max="18" width="10.28515625" style="191" customWidth="1"/>
    <col min="19" max="19" width="6.85546875" style="191" customWidth="1"/>
    <col min="20" max="20" width="9.140625" style="191"/>
    <col min="21" max="102" width="9.140625" style="193"/>
    <col min="103" max="16384" width="9.140625" style="191"/>
  </cols>
  <sheetData>
    <row r="1" spans="1:102" ht="6" customHeight="1" thickBot="1" x14ac:dyDescent="0.3">
      <c r="B1" s="189"/>
      <c r="C1" s="190"/>
      <c r="D1" s="190"/>
      <c r="E1" s="190"/>
      <c r="F1" s="190"/>
      <c r="G1" s="190"/>
      <c r="H1" s="190"/>
      <c r="I1" s="190"/>
      <c r="J1" s="190"/>
      <c r="K1" s="190"/>
      <c r="S1" s="192"/>
      <c r="T1" s="193"/>
    </row>
    <row r="2" spans="1:102" s="204" customFormat="1" ht="16.5" thickBot="1" x14ac:dyDescent="0.3">
      <c r="A2" s="207"/>
      <c r="B2" s="466" t="s">
        <v>160</v>
      </c>
      <c r="C2" s="467"/>
      <c r="D2" s="467"/>
      <c r="E2" s="467"/>
      <c r="F2" s="467"/>
      <c r="G2" s="467"/>
      <c r="H2" s="467"/>
      <c r="I2" s="467"/>
      <c r="J2" s="467"/>
      <c r="K2" s="467"/>
      <c r="L2" s="467"/>
      <c r="M2" s="467"/>
      <c r="N2" s="467"/>
      <c r="O2" s="467"/>
      <c r="P2" s="467"/>
      <c r="Q2" s="467"/>
      <c r="R2" s="467"/>
      <c r="S2" s="468"/>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row>
    <row r="3" spans="1:102" s="193" customFormat="1" ht="27.75" customHeight="1" x14ac:dyDescent="0.2">
      <c r="B3" s="455" t="s">
        <v>171</v>
      </c>
      <c r="C3" s="456"/>
      <c r="D3" s="456"/>
      <c r="E3" s="456"/>
      <c r="F3" s="456"/>
      <c r="G3" s="456"/>
      <c r="H3" s="456"/>
      <c r="I3" s="456"/>
      <c r="J3" s="456"/>
      <c r="K3" s="456"/>
      <c r="L3" s="456"/>
      <c r="M3" s="456"/>
      <c r="N3" s="456"/>
      <c r="O3" s="456"/>
      <c r="P3" s="456"/>
      <c r="Q3" s="456"/>
      <c r="R3" s="456"/>
      <c r="S3" s="457"/>
    </row>
    <row r="4" spans="1:102" s="193" customFormat="1" x14ac:dyDescent="0.2">
      <c r="B4" s="450" t="s">
        <v>165</v>
      </c>
      <c r="C4" s="451"/>
      <c r="D4" s="451"/>
      <c r="E4" s="451"/>
      <c r="F4" s="451"/>
      <c r="G4" s="451"/>
      <c r="H4" s="451"/>
      <c r="I4" s="451"/>
      <c r="J4" s="451"/>
      <c r="K4" s="451"/>
      <c r="L4" s="451"/>
      <c r="M4" s="451"/>
      <c r="N4" s="451"/>
      <c r="O4" s="451"/>
      <c r="P4" s="451"/>
      <c r="Q4" s="451"/>
      <c r="R4" s="451"/>
      <c r="S4" s="452"/>
    </row>
    <row r="5" spans="1:102" s="193" customFormat="1" x14ac:dyDescent="0.2">
      <c r="B5" s="450" t="s">
        <v>161</v>
      </c>
      <c r="C5" s="451"/>
      <c r="D5" s="451"/>
      <c r="E5" s="451"/>
      <c r="F5" s="451"/>
      <c r="G5" s="451"/>
      <c r="H5" s="451"/>
      <c r="I5" s="451"/>
      <c r="J5" s="451"/>
      <c r="K5" s="451"/>
      <c r="L5" s="451"/>
      <c r="M5" s="451"/>
      <c r="N5" s="451"/>
      <c r="O5" s="451"/>
      <c r="P5" s="451"/>
      <c r="Q5" s="451"/>
      <c r="R5" s="451"/>
      <c r="S5" s="452"/>
    </row>
    <row r="6" spans="1:102" s="193" customFormat="1" x14ac:dyDescent="0.2">
      <c r="B6" s="450" t="s">
        <v>162</v>
      </c>
      <c r="C6" s="451"/>
      <c r="D6" s="451"/>
      <c r="E6" s="451"/>
      <c r="F6" s="451"/>
      <c r="G6" s="451"/>
      <c r="H6" s="451"/>
      <c r="I6" s="451"/>
      <c r="J6" s="451"/>
      <c r="K6" s="451"/>
      <c r="L6" s="451"/>
      <c r="M6" s="451"/>
      <c r="N6" s="451"/>
      <c r="O6" s="451"/>
      <c r="P6" s="451"/>
      <c r="Q6" s="451"/>
      <c r="R6" s="451"/>
      <c r="S6" s="452"/>
    </row>
    <row r="7" spans="1:102" s="193" customFormat="1" x14ac:dyDescent="0.2">
      <c r="B7" s="450" t="s">
        <v>163</v>
      </c>
      <c r="C7" s="451"/>
      <c r="D7" s="451"/>
      <c r="E7" s="451"/>
      <c r="F7" s="451"/>
      <c r="G7" s="451"/>
      <c r="H7" s="451"/>
      <c r="I7" s="451"/>
      <c r="J7" s="451"/>
      <c r="K7" s="451"/>
      <c r="L7" s="451"/>
      <c r="M7" s="451"/>
      <c r="N7" s="451"/>
      <c r="O7" s="451"/>
      <c r="P7" s="451"/>
      <c r="Q7" s="451"/>
      <c r="R7" s="451"/>
      <c r="S7" s="452"/>
    </row>
    <row r="8" spans="1:102" s="193" customFormat="1" x14ac:dyDescent="0.2">
      <c r="B8" s="450" t="s">
        <v>164</v>
      </c>
      <c r="C8" s="451"/>
      <c r="D8" s="451"/>
      <c r="E8" s="451"/>
      <c r="F8" s="451"/>
      <c r="G8" s="451"/>
      <c r="H8" s="451"/>
      <c r="I8" s="451"/>
      <c r="J8" s="451"/>
      <c r="K8" s="451"/>
      <c r="L8" s="451"/>
      <c r="M8" s="451"/>
      <c r="N8" s="451"/>
      <c r="O8" s="451"/>
      <c r="P8" s="451"/>
      <c r="Q8" s="451"/>
      <c r="R8" s="451"/>
      <c r="S8" s="452"/>
    </row>
    <row r="9" spans="1:102" x14ac:dyDescent="0.2">
      <c r="B9" s="450" t="s">
        <v>167</v>
      </c>
      <c r="C9" s="451"/>
      <c r="D9" s="451"/>
      <c r="E9" s="451"/>
      <c r="F9" s="451"/>
      <c r="G9" s="451"/>
      <c r="H9" s="451"/>
      <c r="I9" s="451"/>
      <c r="J9" s="451"/>
      <c r="K9" s="451"/>
      <c r="L9" s="451"/>
      <c r="M9" s="451"/>
      <c r="N9" s="451"/>
      <c r="O9" s="451"/>
      <c r="P9" s="451"/>
      <c r="Q9" s="451"/>
      <c r="R9" s="451"/>
      <c r="S9" s="452"/>
    </row>
    <row r="10" spans="1:102" x14ac:dyDescent="0.2">
      <c r="B10" s="450" t="s">
        <v>169</v>
      </c>
      <c r="C10" s="451"/>
      <c r="D10" s="451"/>
      <c r="E10" s="451"/>
      <c r="F10" s="451"/>
      <c r="G10" s="451"/>
      <c r="H10" s="451"/>
      <c r="I10" s="451"/>
      <c r="J10" s="451"/>
      <c r="K10" s="451"/>
      <c r="L10" s="451"/>
      <c r="M10" s="451"/>
      <c r="N10" s="451"/>
      <c r="O10" s="451"/>
      <c r="P10" s="451"/>
      <c r="Q10" s="451"/>
      <c r="R10" s="451"/>
      <c r="S10" s="452"/>
    </row>
    <row r="11" spans="1:102" x14ac:dyDescent="0.2">
      <c r="B11" s="450" t="s">
        <v>166</v>
      </c>
      <c r="C11" s="451"/>
      <c r="D11" s="451"/>
      <c r="E11" s="451"/>
      <c r="F11" s="451"/>
      <c r="G11" s="451"/>
      <c r="H11" s="451"/>
      <c r="I11" s="451"/>
      <c r="J11" s="451"/>
      <c r="K11" s="451"/>
      <c r="L11" s="451"/>
      <c r="M11" s="451"/>
      <c r="N11" s="451"/>
      <c r="O11" s="451"/>
      <c r="P11" s="451"/>
      <c r="Q11" s="451"/>
      <c r="R11" s="451"/>
      <c r="S11" s="452"/>
    </row>
    <row r="12" spans="1:102" ht="27.75" customHeight="1" x14ac:dyDescent="0.2">
      <c r="B12" s="450" t="s">
        <v>170</v>
      </c>
      <c r="C12" s="451"/>
      <c r="D12" s="451"/>
      <c r="E12" s="451"/>
      <c r="F12" s="451"/>
      <c r="G12" s="451"/>
      <c r="H12" s="451"/>
      <c r="I12" s="451"/>
      <c r="J12" s="451"/>
      <c r="K12" s="451"/>
      <c r="L12" s="451"/>
      <c r="M12" s="451"/>
      <c r="N12" s="451"/>
      <c r="O12" s="451"/>
      <c r="P12" s="451"/>
      <c r="Q12" s="451"/>
      <c r="R12" s="451"/>
      <c r="S12" s="452"/>
    </row>
    <row r="13" spans="1:102" ht="27.75" customHeight="1" x14ac:dyDescent="0.2">
      <c r="B13" s="450" t="s">
        <v>183</v>
      </c>
      <c r="C13" s="451"/>
      <c r="D13" s="451"/>
      <c r="E13" s="451"/>
      <c r="F13" s="451"/>
      <c r="G13" s="451"/>
      <c r="H13" s="451"/>
      <c r="I13" s="451"/>
      <c r="J13" s="451"/>
      <c r="K13" s="451"/>
      <c r="L13" s="451"/>
      <c r="M13" s="451"/>
      <c r="N13" s="451"/>
      <c r="O13" s="451"/>
      <c r="P13" s="451"/>
      <c r="Q13" s="451"/>
      <c r="R13" s="451"/>
      <c r="S13" s="452"/>
    </row>
    <row r="14" spans="1:102" ht="27" customHeight="1" x14ac:dyDescent="0.2">
      <c r="B14" s="450" t="s">
        <v>194</v>
      </c>
      <c r="C14" s="451"/>
      <c r="D14" s="451"/>
      <c r="E14" s="451"/>
      <c r="F14" s="451"/>
      <c r="G14" s="451"/>
      <c r="H14" s="451"/>
      <c r="I14" s="451"/>
      <c r="J14" s="451"/>
      <c r="K14" s="451"/>
      <c r="L14" s="451"/>
      <c r="M14" s="451"/>
      <c r="N14" s="451"/>
      <c r="O14" s="451"/>
      <c r="P14" s="451"/>
      <c r="Q14" s="451"/>
      <c r="R14" s="451"/>
      <c r="S14" s="452"/>
    </row>
    <row r="15" spans="1:102" ht="27.75" customHeight="1" x14ac:dyDescent="0.2">
      <c r="B15" s="450" t="s">
        <v>173</v>
      </c>
      <c r="C15" s="451"/>
      <c r="D15" s="451"/>
      <c r="E15" s="451"/>
      <c r="F15" s="451"/>
      <c r="G15" s="451"/>
      <c r="H15" s="451"/>
      <c r="I15" s="451"/>
      <c r="J15" s="451"/>
      <c r="K15" s="451"/>
      <c r="L15" s="451"/>
      <c r="M15" s="451"/>
      <c r="N15" s="451"/>
      <c r="O15" s="451"/>
      <c r="P15" s="451"/>
      <c r="Q15" s="451"/>
      <c r="R15" s="451"/>
      <c r="S15" s="452"/>
    </row>
    <row r="16" spans="1:102" x14ac:dyDescent="0.2">
      <c r="B16" s="273"/>
      <c r="C16" s="260"/>
      <c r="D16" s="260"/>
      <c r="E16" s="260"/>
      <c r="F16" s="260"/>
      <c r="G16" s="260"/>
      <c r="H16" s="260"/>
      <c r="I16" s="260"/>
      <c r="J16" s="260"/>
      <c r="K16" s="260"/>
      <c r="L16" s="260"/>
      <c r="M16" s="260"/>
      <c r="N16" s="260"/>
      <c r="O16" s="260"/>
      <c r="P16" s="260"/>
      <c r="Q16" s="260"/>
      <c r="R16" s="260"/>
      <c r="S16" s="274"/>
    </row>
    <row r="17" spans="2:102" x14ac:dyDescent="0.2">
      <c r="B17" s="273"/>
      <c r="C17" s="469" t="s">
        <v>182</v>
      </c>
      <c r="D17" s="470"/>
      <c r="E17" s="470"/>
      <c r="F17" s="470"/>
      <c r="G17" s="470"/>
      <c r="H17" s="470"/>
      <c r="I17" s="470"/>
      <c r="J17" s="470"/>
      <c r="K17" s="471"/>
      <c r="L17" s="242"/>
      <c r="M17" s="469" t="s">
        <v>181</v>
      </c>
      <c r="N17" s="470"/>
      <c r="O17" s="470"/>
      <c r="P17" s="470"/>
      <c r="Q17" s="470"/>
      <c r="R17" s="471"/>
      <c r="S17" s="275"/>
      <c r="T17" s="193"/>
      <c r="CX17" s="191"/>
    </row>
    <row r="18" spans="2:102" ht="51" x14ac:dyDescent="0.2">
      <c r="B18" s="273"/>
      <c r="C18" s="282" t="s">
        <v>179</v>
      </c>
      <c r="D18" s="282" t="s">
        <v>180</v>
      </c>
      <c r="E18" s="271"/>
      <c r="F18" s="271"/>
      <c r="G18" s="271"/>
      <c r="H18" s="271"/>
      <c r="I18" s="271"/>
      <c r="J18" s="271"/>
      <c r="K18" s="272"/>
      <c r="L18" s="242"/>
      <c r="M18" s="281" t="s">
        <v>20</v>
      </c>
      <c r="N18" s="281" t="s">
        <v>21</v>
      </c>
      <c r="O18" s="282" t="s">
        <v>177</v>
      </c>
      <c r="P18" s="282" t="s">
        <v>176</v>
      </c>
      <c r="Q18" s="282" t="s">
        <v>175</v>
      </c>
      <c r="R18" s="282" t="s">
        <v>178</v>
      </c>
      <c r="S18" s="207"/>
      <c r="T18" s="193"/>
      <c r="CW18" s="191"/>
      <c r="CX18" s="191"/>
    </row>
    <row r="19" spans="2:102" x14ac:dyDescent="0.2">
      <c r="B19" s="273"/>
      <c r="C19" s="286">
        <v>38</v>
      </c>
      <c r="D19" s="298">
        <v>1000000</v>
      </c>
      <c r="E19" s="242"/>
      <c r="F19" s="242"/>
      <c r="G19" s="242"/>
      <c r="H19" s="242"/>
      <c r="I19" s="242"/>
      <c r="J19" s="242"/>
      <c r="K19" s="243"/>
      <c r="L19" s="242"/>
      <c r="M19" s="283">
        <v>39093</v>
      </c>
      <c r="N19" s="284">
        <v>0.94791666666666663</v>
      </c>
      <c r="O19" s="285">
        <v>27.06</v>
      </c>
      <c r="P19" s="285" t="s">
        <v>168</v>
      </c>
      <c r="Q19" s="299">
        <f>IF(O19="","",29835*O19-81942)</f>
        <v>725393.1</v>
      </c>
      <c r="R19" s="299" t="s">
        <v>168</v>
      </c>
      <c r="S19" s="207"/>
      <c r="T19" s="193"/>
      <c r="CW19" s="191"/>
      <c r="CX19" s="191"/>
    </row>
    <row r="20" spans="2:102" x14ac:dyDescent="0.2">
      <c r="B20" s="273"/>
      <c r="C20" s="286">
        <v>37</v>
      </c>
      <c r="D20" s="298">
        <v>998854</v>
      </c>
      <c r="E20" s="242"/>
      <c r="F20" s="242"/>
      <c r="G20" s="242"/>
      <c r="H20" s="242"/>
      <c r="I20" s="242"/>
      <c r="J20" s="242"/>
      <c r="K20" s="243"/>
      <c r="L20" s="242"/>
      <c r="M20" s="283">
        <v>39094</v>
      </c>
      <c r="N20" s="284">
        <v>0.4284722222222222</v>
      </c>
      <c r="O20" s="285" t="s">
        <v>168</v>
      </c>
      <c r="P20" s="285">
        <v>35.39</v>
      </c>
      <c r="Q20" s="299" t="s">
        <v>168</v>
      </c>
      <c r="R20" s="299">
        <f t="shared" ref="R20:R32" si="0">IF(P20="","",29835*P20-81942)</f>
        <v>973918.64999999991</v>
      </c>
      <c r="S20" s="207"/>
      <c r="T20" s="193"/>
      <c r="CW20" s="191"/>
      <c r="CX20" s="191"/>
    </row>
    <row r="21" spans="2:102" x14ac:dyDescent="0.2">
      <c r="B21" s="273"/>
      <c r="C21" s="286">
        <v>36</v>
      </c>
      <c r="D21" s="298">
        <v>979744</v>
      </c>
      <c r="E21" s="242"/>
      <c r="F21" s="242"/>
      <c r="G21" s="242"/>
      <c r="H21" s="242"/>
      <c r="I21" s="242"/>
      <c r="J21" s="242"/>
      <c r="K21" s="243"/>
      <c r="L21" s="242"/>
      <c r="M21" s="283">
        <v>39094</v>
      </c>
      <c r="N21" s="284">
        <v>0.91874999999999996</v>
      </c>
      <c r="O21" s="285">
        <v>30.2</v>
      </c>
      <c r="P21" s="285" t="s">
        <v>168</v>
      </c>
      <c r="Q21" s="299">
        <f t="shared" ref="Q21:Q31" si="1">IF(O21="","",29835*O21-81942)</f>
        <v>819075</v>
      </c>
      <c r="R21" s="299" t="s">
        <v>168</v>
      </c>
      <c r="S21" s="207"/>
      <c r="T21" s="193"/>
      <c r="CW21" s="191"/>
      <c r="CX21" s="191"/>
    </row>
    <row r="22" spans="2:102" x14ac:dyDescent="0.2">
      <c r="B22" s="273"/>
      <c r="C22" s="286">
        <v>35</v>
      </c>
      <c r="D22" s="298">
        <v>958591</v>
      </c>
      <c r="E22" s="242"/>
      <c r="F22" s="242"/>
      <c r="G22" s="242"/>
      <c r="H22" s="242"/>
      <c r="I22" s="242"/>
      <c r="J22" s="242"/>
      <c r="K22" s="243"/>
      <c r="L22" s="242"/>
      <c r="M22" s="283">
        <v>39095</v>
      </c>
      <c r="N22" s="284">
        <v>0.64236111111111105</v>
      </c>
      <c r="O22" s="285" t="s">
        <v>168</v>
      </c>
      <c r="P22" s="285">
        <v>31.86</v>
      </c>
      <c r="Q22" s="299" t="s">
        <v>168</v>
      </c>
      <c r="R22" s="299">
        <f t="shared" si="0"/>
        <v>868601.1</v>
      </c>
      <c r="S22" s="207"/>
      <c r="T22" s="193"/>
      <c r="CW22" s="191"/>
      <c r="CX22" s="191"/>
    </row>
    <row r="23" spans="2:102" x14ac:dyDescent="0.2">
      <c r="B23" s="273"/>
      <c r="C23" s="286">
        <v>34</v>
      </c>
      <c r="D23" s="298">
        <v>935672</v>
      </c>
      <c r="E23" s="242"/>
      <c r="F23" s="242"/>
      <c r="G23" s="242"/>
      <c r="H23" s="242"/>
      <c r="I23" s="242"/>
      <c r="J23" s="242"/>
      <c r="K23" s="243"/>
      <c r="L23" s="242"/>
      <c r="M23" s="283">
        <v>39095</v>
      </c>
      <c r="N23" s="284">
        <v>0.95486111111111116</v>
      </c>
      <c r="O23" s="285">
        <v>22.25</v>
      </c>
      <c r="P23" s="285" t="s">
        <v>168</v>
      </c>
      <c r="Q23" s="299">
        <f t="shared" si="1"/>
        <v>581886.75</v>
      </c>
      <c r="R23" s="299" t="s">
        <v>168</v>
      </c>
      <c r="S23" s="207"/>
      <c r="T23" s="193"/>
      <c r="CW23" s="191"/>
      <c r="CX23" s="191"/>
    </row>
    <row r="24" spans="2:102" x14ac:dyDescent="0.2">
      <c r="B24" s="273"/>
      <c r="C24" s="286">
        <v>33</v>
      </c>
      <c r="D24" s="298">
        <v>911199</v>
      </c>
      <c r="E24" s="242"/>
      <c r="F24" s="242"/>
      <c r="G24" s="242"/>
      <c r="H24" s="242"/>
      <c r="I24" s="242"/>
      <c r="J24" s="242"/>
      <c r="K24" s="243"/>
      <c r="L24" s="242"/>
      <c r="M24" s="283">
        <v>39096</v>
      </c>
      <c r="N24" s="284">
        <v>0.49652777777777773</v>
      </c>
      <c r="O24" s="285" t="s">
        <v>168</v>
      </c>
      <c r="P24" s="285">
        <v>32.6</v>
      </c>
      <c r="Q24" s="299" t="s">
        <v>168</v>
      </c>
      <c r="R24" s="299">
        <f t="shared" si="0"/>
        <v>890679</v>
      </c>
      <c r="S24" s="207"/>
      <c r="T24" s="193"/>
      <c r="CW24" s="191"/>
      <c r="CX24" s="191"/>
    </row>
    <row r="25" spans="2:102" x14ac:dyDescent="0.2">
      <c r="B25" s="273"/>
      <c r="C25" s="286">
        <v>32</v>
      </c>
      <c r="D25" s="298">
        <v>885347</v>
      </c>
      <c r="E25" s="242"/>
      <c r="F25" s="242"/>
      <c r="G25" s="242"/>
      <c r="H25" s="242"/>
      <c r="I25" s="242"/>
      <c r="J25" s="242"/>
      <c r="K25" s="243"/>
      <c r="L25" s="242"/>
      <c r="M25" s="283">
        <v>39096</v>
      </c>
      <c r="N25" s="284">
        <v>0.65694444444444444</v>
      </c>
      <c r="O25" s="285">
        <v>28.24</v>
      </c>
      <c r="P25" s="285" t="s">
        <v>168</v>
      </c>
      <c r="Q25" s="299">
        <f t="shared" si="1"/>
        <v>760598.39999999991</v>
      </c>
      <c r="R25" s="299" t="s">
        <v>168</v>
      </c>
      <c r="S25" s="207"/>
      <c r="T25" s="193"/>
      <c r="CW25" s="191"/>
      <c r="CX25" s="191"/>
    </row>
    <row r="26" spans="2:102" x14ac:dyDescent="0.2">
      <c r="B26" s="273"/>
      <c r="C26" s="286">
        <v>31</v>
      </c>
      <c r="D26" s="298">
        <v>858267</v>
      </c>
      <c r="E26" s="242"/>
      <c r="F26" s="242"/>
      <c r="G26" s="242"/>
      <c r="H26" s="242"/>
      <c r="I26" s="242"/>
      <c r="J26" s="242"/>
      <c r="K26" s="243"/>
      <c r="L26" s="242"/>
      <c r="M26" s="283">
        <v>39097</v>
      </c>
      <c r="N26" s="284">
        <v>0.3034722222222222</v>
      </c>
      <c r="O26" s="285" t="s">
        <v>168</v>
      </c>
      <c r="P26" s="285">
        <v>40</v>
      </c>
      <c r="Q26" s="299" t="s">
        <v>168</v>
      </c>
      <c r="R26" s="299">
        <f t="shared" si="0"/>
        <v>1111458</v>
      </c>
      <c r="S26" s="207"/>
      <c r="T26" s="193"/>
      <c r="CW26" s="191"/>
      <c r="CX26" s="191"/>
    </row>
    <row r="27" spans="2:102" x14ac:dyDescent="0.2">
      <c r="B27" s="273"/>
      <c r="C27" s="286">
        <v>30</v>
      </c>
      <c r="D27" s="298">
        <v>830096</v>
      </c>
      <c r="E27" s="242"/>
      <c r="F27" s="242"/>
      <c r="G27" s="242"/>
      <c r="H27" s="242"/>
      <c r="I27" s="242"/>
      <c r="J27" s="242"/>
      <c r="K27" s="243"/>
      <c r="L27" s="242"/>
      <c r="M27" s="283">
        <v>39097</v>
      </c>
      <c r="N27" s="284">
        <v>0.94513888888888886</v>
      </c>
      <c r="O27" s="285">
        <v>21.96</v>
      </c>
      <c r="P27" s="285" t="s">
        <v>168</v>
      </c>
      <c r="Q27" s="299">
        <f t="shared" si="1"/>
        <v>573234.6</v>
      </c>
      <c r="R27" s="299" t="s">
        <v>168</v>
      </c>
      <c r="S27" s="207"/>
      <c r="T27" s="193"/>
      <c r="CW27" s="191"/>
      <c r="CX27" s="191"/>
    </row>
    <row r="28" spans="2:102" x14ac:dyDescent="0.2">
      <c r="B28" s="273"/>
      <c r="C28" s="286">
        <v>29</v>
      </c>
      <c r="D28" s="298">
        <v>800952</v>
      </c>
      <c r="E28" s="242"/>
      <c r="F28" s="242"/>
      <c r="G28" s="242"/>
      <c r="H28" s="242"/>
      <c r="I28" s="242"/>
      <c r="J28" s="242"/>
      <c r="K28" s="243"/>
      <c r="L28" s="242"/>
      <c r="M28" s="283">
        <v>39098</v>
      </c>
      <c r="N28" s="284">
        <v>0.65694444444444444</v>
      </c>
      <c r="O28" s="285" t="s">
        <v>168</v>
      </c>
      <c r="P28" s="285">
        <v>38.19</v>
      </c>
      <c r="Q28" s="299" t="s">
        <v>168</v>
      </c>
      <c r="R28" s="299">
        <f t="shared" si="0"/>
        <v>1057456.6499999999</v>
      </c>
      <c r="S28" s="207"/>
      <c r="T28" s="193"/>
      <c r="CW28" s="191"/>
      <c r="CX28" s="191"/>
    </row>
    <row r="29" spans="2:102" x14ac:dyDescent="0.2">
      <c r="B29" s="273"/>
      <c r="C29" s="286">
        <v>28</v>
      </c>
      <c r="D29" s="298">
        <v>770967</v>
      </c>
      <c r="E29" s="242"/>
      <c r="F29" s="242"/>
      <c r="G29" s="242"/>
      <c r="H29" s="242"/>
      <c r="I29" s="242"/>
      <c r="J29" s="242"/>
      <c r="K29" s="243"/>
      <c r="L29" s="242"/>
      <c r="M29" s="283">
        <v>39098</v>
      </c>
      <c r="N29" s="284">
        <v>0.9604166666666667</v>
      </c>
      <c r="O29" s="285">
        <v>20.59</v>
      </c>
      <c r="P29" s="285" t="s">
        <v>168</v>
      </c>
      <c r="Q29" s="299">
        <f t="shared" si="1"/>
        <v>532360.65</v>
      </c>
      <c r="R29" s="299" t="s">
        <v>168</v>
      </c>
      <c r="S29" s="207"/>
      <c r="T29" s="193"/>
      <c r="CW29" s="191"/>
      <c r="CX29" s="191"/>
    </row>
    <row r="30" spans="2:102" x14ac:dyDescent="0.2">
      <c r="B30" s="273"/>
      <c r="C30" s="286">
        <v>27</v>
      </c>
      <c r="D30" s="298">
        <v>740244</v>
      </c>
      <c r="E30" s="242"/>
      <c r="F30" s="242"/>
      <c r="G30" s="242"/>
      <c r="H30" s="242"/>
      <c r="I30" s="242"/>
      <c r="J30" s="242"/>
      <c r="K30" s="243"/>
      <c r="L30" s="242"/>
      <c r="M30" s="283">
        <v>39099</v>
      </c>
      <c r="N30" s="284">
        <v>0.68472222222222223</v>
      </c>
      <c r="O30" s="285" t="s">
        <v>168</v>
      </c>
      <c r="P30" s="285">
        <v>38.14</v>
      </c>
      <c r="Q30" s="299" t="s">
        <v>168</v>
      </c>
      <c r="R30" s="299">
        <f t="shared" si="0"/>
        <v>1055964.8999999999</v>
      </c>
      <c r="S30" s="207"/>
      <c r="T30" s="193"/>
      <c r="CW30" s="191"/>
      <c r="CX30" s="191"/>
    </row>
    <row r="31" spans="2:102" x14ac:dyDescent="0.2">
      <c r="B31" s="273"/>
      <c r="C31" s="286">
        <v>26</v>
      </c>
      <c r="D31" s="298">
        <v>708889</v>
      </c>
      <c r="E31" s="242"/>
      <c r="F31" s="242"/>
      <c r="G31" s="242"/>
      <c r="H31" s="242"/>
      <c r="I31" s="242"/>
      <c r="J31" s="242"/>
      <c r="K31" s="243"/>
      <c r="L31" s="242"/>
      <c r="M31" s="283">
        <v>39099</v>
      </c>
      <c r="N31" s="284">
        <v>0.96319444444444446</v>
      </c>
      <c r="O31" s="285">
        <v>18.05</v>
      </c>
      <c r="P31" s="285" t="s">
        <v>168</v>
      </c>
      <c r="Q31" s="299">
        <f t="shared" si="1"/>
        <v>456579.75</v>
      </c>
      <c r="R31" s="299" t="s">
        <v>168</v>
      </c>
      <c r="S31" s="207"/>
      <c r="T31" s="193"/>
      <c r="CW31" s="191"/>
      <c r="CX31" s="191"/>
    </row>
    <row r="32" spans="2:102" x14ac:dyDescent="0.2">
      <c r="B32" s="273"/>
      <c r="C32" s="286">
        <v>25</v>
      </c>
      <c r="D32" s="298">
        <v>677005</v>
      </c>
      <c r="E32" s="242"/>
      <c r="F32" s="242"/>
      <c r="G32" s="242"/>
      <c r="H32" s="242"/>
      <c r="I32" s="242"/>
      <c r="J32" s="242"/>
      <c r="K32" s="243"/>
      <c r="L32" s="242"/>
      <c r="M32" s="283">
        <v>39100</v>
      </c>
      <c r="N32" s="284">
        <v>0.70763888888888893</v>
      </c>
      <c r="O32" s="285" t="s">
        <v>168</v>
      </c>
      <c r="P32" s="285">
        <v>31.74</v>
      </c>
      <c r="Q32" s="299" t="s">
        <v>168</v>
      </c>
      <c r="R32" s="299">
        <f t="shared" si="0"/>
        <v>865020.89999999991</v>
      </c>
      <c r="S32" s="207"/>
      <c r="T32" s="193"/>
      <c r="CW32" s="191"/>
      <c r="CX32" s="191"/>
    </row>
    <row r="33" spans="2:102" x14ac:dyDescent="0.2">
      <c r="B33" s="273"/>
      <c r="C33" s="286">
        <v>24</v>
      </c>
      <c r="D33" s="298">
        <v>644691</v>
      </c>
      <c r="E33" s="242"/>
      <c r="F33" s="242"/>
      <c r="G33" s="242"/>
      <c r="H33" s="242"/>
      <c r="I33" s="242"/>
      <c r="J33" s="242"/>
      <c r="K33" s="243"/>
      <c r="L33" s="242"/>
      <c r="M33" s="283">
        <v>39100</v>
      </c>
      <c r="N33" s="284">
        <v>0.98888888888888893</v>
      </c>
      <c r="O33" s="285">
        <v>19.8</v>
      </c>
      <c r="P33" s="285" t="s">
        <v>168</v>
      </c>
      <c r="Q33" s="299">
        <f>IF(O33="","",29835*O33-81942)</f>
        <v>508791</v>
      </c>
      <c r="R33" s="299" t="s">
        <v>168</v>
      </c>
      <c r="S33" s="207"/>
      <c r="T33" s="193"/>
      <c r="CW33" s="191"/>
      <c r="CX33" s="191"/>
    </row>
    <row r="34" spans="2:102" x14ac:dyDescent="0.2">
      <c r="B34" s="273"/>
      <c r="C34" s="286">
        <v>23</v>
      </c>
      <c r="D34" s="298">
        <v>612045</v>
      </c>
      <c r="E34" s="242"/>
      <c r="F34" s="242"/>
      <c r="G34" s="242"/>
      <c r="H34" s="242"/>
      <c r="I34" s="242"/>
      <c r="J34" s="242"/>
      <c r="K34" s="243"/>
      <c r="L34" s="242"/>
      <c r="M34" s="283">
        <v>39101</v>
      </c>
      <c r="N34" s="284">
        <v>0.64097222222222217</v>
      </c>
      <c r="O34" s="285" t="s">
        <v>168</v>
      </c>
      <c r="P34" s="285">
        <v>38.049999999999997</v>
      </c>
      <c r="Q34" s="299" t="s">
        <v>168</v>
      </c>
      <c r="R34" s="299">
        <f>IF(P34="","",29835*P34-81942)</f>
        <v>1053279.75</v>
      </c>
      <c r="S34" s="207"/>
      <c r="T34" s="193"/>
      <c r="CW34" s="191"/>
      <c r="CX34" s="191"/>
    </row>
    <row r="35" spans="2:102" x14ac:dyDescent="0.2">
      <c r="B35" s="273"/>
      <c r="C35" s="286">
        <v>22</v>
      </c>
      <c r="D35" s="298">
        <v>579163</v>
      </c>
      <c r="E35" s="242"/>
      <c r="F35" s="242"/>
      <c r="G35" s="242"/>
      <c r="H35" s="242"/>
      <c r="I35" s="242"/>
      <c r="J35" s="242"/>
      <c r="K35" s="243"/>
      <c r="L35" s="242"/>
      <c r="M35" s="283">
        <v>39102</v>
      </c>
      <c r="N35" s="284">
        <v>7.6388888888888886E-3</v>
      </c>
      <c r="O35" s="285">
        <v>20.77</v>
      </c>
      <c r="P35" s="285" t="s">
        <v>168</v>
      </c>
      <c r="Q35" s="299">
        <f>IF(O35="","",29835*O35-81942)</f>
        <v>537730.94999999995</v>
      </c>
      <c r="R35" s="299" t="s">
        <v>168</v>
      </c>
      <c r="S35" s="207"/>
      <c r="T35" s="193"/>
      <c r="CW35" s="191"/>
      <c r="CX35" s="191"/>
    </row>
    <row r="36" spans="2:102" x14ac:dyDescent="0.2">
      <c r="B36" s="273"/>
      <c r="C36" s="286">
        <v>21</v>
      </c>
      <c r="D36" s="298">
        <v>546139</v>
      </c>
      <c r="E36" s="242"/>
      <c r="F36" s="242"/>
      <c r="G36" s="242"/>
      <c r="H36" s="242"/>
      <c r="I36" s="242"/>
      <c r="J36" s="242"/>
      <c r="K36" s="243"/>
      <c r="L36" s="242"/>
      <c r="M36" s="283">
        <v>39102</v>
      </c>
      <c r="N36" s="284">
        <v>0.71944444444444444</v>
      </c>
      <c r="O36" s="285" t="s">
        <v>168</v>
      </c>
      <c r="P36" s="285">
        <v>38.28</v>
      </c>
      <c r="Q36" s="299" t="s">
        <v>168</v>
      </c>
      <c r="R36" s="299">
        <f>IF(P36="","",29835*P36-81942)</f>
        <v>1060141.8</v>
      </c>
      <c r="S36" s="207"/>
      <c r="T36" s="193"/>
      <c r="CW36" s="191"/>
      <c r="CX36" s="191"/>
    </row>
    <row r="37" spans="2:102" x14ac:dyDescent="0.2">
      <c r="B37" s="273"/>
      <c r="C37" s="286">
        <v>20</v>
      </c>
      <c r="D37" s="298">
        <v>513068</v>
      </c>
      <c r="E37" s="242"/>
      <c r="F37" s="242"/>
      <c r="G37" s="242"/>
      <c r="H37" s="242"/>
      <c r="I37" s="242"/>
      <c r="J37" s="242"/>
      <c r="K37" s="243"/>
      <c r="L37" s="242"/>
      <c r="M37" s="283">
        <v>39102</v>
      </c>
      <c r="N37" s="284">
        <v>0.9458333333333333</v>
      </c>
      <c r="O37" s="285">
        <v>22.33</v>
      </c>
      <c r="P37" s="285" t="s">
        <v>168</v>
      </c>
      <c r="Q37" s="299">
        <f>IF(O37="","",29835*O37-81942)</f>
        <v>584273.54999999993</v>
      </c>
      <c r="R37" s="299" t="s">
        <v>168</v>
      </c>
      <c r="S37" s="207"/>
      <c r="T37" s="193"/>
      <c r="CW37" s="191"/>
      <c r="CX37" s="191"/>
    </row>
    <row r="38" spans="2:102" x14ac:dyDescent="0.2">
      <c r="B38" s="273"/>
      <c r="C38" s="286">
        <v>19</v>
      </c>
      <c r="D38" s="298">
        <v>480044</v>
      </c>
      <c r="E38" s="242"/>
      <c r="F38" s="242"/>
      <c r="G38" s="242"/>
      <c r="H38" s="242"/>
      <c r="I38" s="242"/>
      <c r="J38" s="242"/>
      <c r="K38" s="243"/>
      <c r="L38" s="242"/>
      <c r="M38" s="283">
        <v>39103</v>
      </c>
      <c r="N38" s="284">
        <v>0.3034722222222222</v>
      </c>
      <c r="O38" s="285" t="s">
        <v>168</v>
      </c>
      <c r="P38" s="285">
        <v>28.48</v>
      </c>
      <c r="Q38" s="299" t="s">
        <v>168</v>
      </c>
      <c r="R38" s="299">
        <f>IF(P38="","",29835*P38-81942)</f>
        <v>767758.8</v>
      </c>
      <c r="S38" s="207"/>
      <c r="T38" s="193"/>
      <c r="CW38" s="191"/>
      <c r="CX38" s="191"/>
    </row>
    <row r="39" spans="2:102" x14ac:dyDescent="0.2">
      <c r="B39" s="273"/>
      <c r="C39" s="286">
        <v>18</v>
      </c>
      <c r="D39" s="298">
        <v>447162</v>
      </c>
      <c r="E39" s="242"/>
      <c r="F39" s="242"/>
      <c r="G39" s="242"/>
      <c r="H39" s="242"/>
      <c r="I39" s="242"/>
      <c r="J39" s="242"/>
      <c r="K39" s="243"/>
      <c r="L39" s="242"/>
      <c r="M39" s="283">
        <v>39103</v>
      </c>
      <c r="N39" s="284">
        <v>0.85138888888888886</v>
      </c>
      <c r="O39" s="285">
        <v>17.940000000000001</v>
      </c>
      <c r="P39" s="285" t="s">
        <v>168</v>
      </c>
      <c r="Q39" s="299">
        <f>IF(O39="","",29835*O39-81942)</f>
        <v>453297.9</v>
      </c>
      <c r="R39" s="299" t="s">
        <v>168</v>
      </c>
      <c r="S39" s="207"/>
      <c r="T39" s="193"/>
      <c r="CW39" s="191"/>
      <c r="CX39" s="191"/>
    </row>
    <row r="40" spans="2:102" x14ac:dyDescent="0.2">
      <c r="B40" s="273"/>
      <c r="C40" s="286">
        <v>17</v>
      </c>
      <c r="D40" s="298">
        <v>414516</v>
      </c>
      <c r="E40" s="242"/>
      <c r="F40" s="242"/>
      <c r="G40" s="242"/>
      <c r="H40" s="242"/>
      <c r="I40" s="242"/>
      <c r="J40" s="242"/>
      <c r="K40" s="243"/>
      <c r="L40" s="242"/>
      <c r="M40" s="283">
        <v>39104</v>
      </c>
      <c r="N40" s="284">
        <v>0.23125000000000001</v>
      </c>
      <c r="O40" s="285" t="s">
        <v>168</v>
      </c>
      <c r="P40" s="285">
        <v>38.1</v>
      </c>
      <c r="Q40" s="299" t="s">
        <v>168</v>
      </c>
      <c r="R40" s="299">
        <f>IF(P40="","",29835*P40-81942)</f>
        <v>1054771.5</v>
      </c>
      <c r="S40" s="207"/>
      <c r="T40" s="193"/>
      <c r="CW40" s="191"/>
      <c r="CX40" s="191"/>
    </row>
    <row r="41" spans="2:102" x14ac:dyDescent="0.2">
      <c r="B41" s="273"/>
      <c r="C41" s="286">
        <v>16</v>
      </c>
      <c r="D41" s="298">
        <v>382202</v>
      </c>
      <c r="E41" s="242"/>
      <c r="F41" s="242"/>
      <c r="G41" s="242"/>
      <c r="H41" s="242"/>
      <c r="I41" s="242"/>
      <c r="J41" s="242"/>
      <c r="K41" s="243"/>
      <c r="L41" s="242"/>
      <c r="M41" s="283">
        <v>39104</v>
      </c>
      <c r="N41" s="284">
        <v>0.96388888888888891</v>
      </c>
      <c r="O41" s="285">
        <v>25.72</v>
      </c>
      <c r="P41" s="285" t="s">
        <v>168</v>
      </c>
      <c r="Q41" s="299">
        <f>IF(O41="","",29835*O41-81942)</f>
        <v>685414.2</v>
      </c>
      <c r="R41" s="299" t="s">
        <v>168</v>
      </c>
      <c r="S41" s="207"/>
      <c r="T41" s="193"/>
      <c r="CW41" s="191"/>
      <c r="CX41" s="191"/>
    </row>
    <row r="42" spans="2:102" x14ac:dyDescent="0.2">
      <c r="B42" s="273"/>
      <c r="C42" s="286">
        <v>15</v>
      </c>
      <c r="D42" s="298">
        <v>350318</v>
      </c>
      <c r="E42" s="242"/>
      <c r="F42" s="242"/>
      <c r="G42" s="242"/>
      <c r="H42" s="242"/>
      <c r="I42" s="242"/>
      <c r="J42" s="242"/>
      <c r="K42" s="243"/>
      <c r="L42" s="242"/>
      <c r="M42" s="283">
        <v>39105</v>
      </c>
      <c r="N42" s="284">
        <v>0.47986111111111113</v>
      </c>
      <c r="O42" s="285" t="s">
        <v>168</v>
      </c>
      <c r="P42" s="285">
        <v>38.22</v>
      </c>
      <c r="Q42" s="299" t="s">
        <v>168</v>
      </c>
      <c r="R42" s="299">
        <f>IF(P42="","",29835*P42-81942)</f>
        <v>1058351.7</v>
      </c>
      <c r="S42" s="207"/>
      <c r="T42" s="193"/>
      <c r="CW42" s="191"/>
      <c r="CX42" s="191"/>
    </row>
    <row r="43" spans="2:102" x14ac:dyDescent="0.2">
      <c r="B43" s="273"/>
      <c r="C43" s="286">
        <v>14</v>
      </c>
      <c r="D43" s="298">
        <v>318963</v>
      </c>
      <c r="E43" s="472" t="s">
        <v>199</v>
      </c>
      <c r="F43" s="465"/>
      <c r="G43" s="465"/>
      <c r="H43" s="465"/>
      <c r="I43" s="465"/>
      <c r="J43" s="465"/>
      <c r="K43" s="473"/>
      <c r="L43" s="242"/>
      <c r="M43" s="322"/>
      <c r="N43" s="323"/>
      <c r="O43" s="324"/>
      <c r="P43" s="324"/>
      <c r="Q43" s="325"/>
      <c r="R43" s="325"/>
      <c r="S43" s="207"/>
      <c r="T43" s="193"/>
      <c r="CW43" s="191"/>
      <c r="CX43" s="191"/>
    </row>
    <row r="44" spans="2:102" x14ac:dyDescent="0.2">
      <c r="B44" s="273"/>
      <c r="C44" s="260"/>
      <c r="D44" s="260"/>
      <c r="E44" s="260"/>
      <c r="F44" s="260"/>
      <c r="G44" s="260"/>
      <c r="H44" s="260"/>
      <c r="I44" s="260"/>
      <c r="J44" s="260"/>
      <c r="K44" s="260"/>
      <c r="L44" s="260"/>
      <c r="M44" s="260"/>
      <c r="N44" s="260"/>
      <c r="O44" s="260"/>
      <c r="P44" s="260"/>
      <c r="Q44" s="260"/>
      <c r="R44" s="260"/>
      <c r="S44" s="274"/>
    </row>
    <row r="45" spans="2:102" ht="39.75" customHeight="1" x14ac:dyDescent="0.2">
      <c r="B45" s="450" t="s">
        <v>195</v>
      </c>
      <c r="C45" s="451"/>
      <c r="D45" s="451"/>
      <c r="E45" s="451"/>
      <c r="F45" s="451"/>
      <c r="G45" s="451"/>
      <c r="H45" s="451"/>
      <c r="I45" s="451"/>
      <c r="J45" s="451"/>
      <c r="K45" s="451"/>
      <c r="L45" s="451"/>
      <c r="M45" s="451"/>
      <c r="N45" s="451"/>
      <c r="O45" s="451"/>
      <c r="P45" s="451"/>
      <c r="Q45" s="451"/>
      <c r="R45" s="451"/>
      <c r="S45" s="452"/>
    </row>
    <row r="46" spans="2:102" x14ac:dyDescent="0.2">
      <c r="B46" s="273"/>
      <c r="C46" s="260"/>
      <c r="D46" s="260"/>
      <c r="E46" s="260"/>
      <c r="F46" s="260"/>
      <c r="G46" s="260"/>
      <c r="H46" s="260"/>
      <c r="I46" s="260"/>
      <c r="J46" s="260"/>
      <c r="K46" s="260"/>
      <c r="L46" s="260"/>
      <c r="M46" s="260"/>
      <c r="N46" s="260"/>
      <c r="O46" s="260"/>
      <c r="P46" s="260"/>
      <c r="Q46" s="260"/>
      <c r="R46" s="260"/>
      <c r="S46" s="274"/>
    </row>
    <row r="47" spans="2:102" x14ac:dyDescent="0.2">
      <c r="B47" s="273"/>
      <c r="C47" s="444" t="s">
        <v>192</v>
      </c>
      <c r="D47" s="445"/>
      <c r="E47" s="445"/>
      <c r="F47" s="445"/>
      <c r="G47" s="445"/>
      <c r="H47" s="445"/>
      <c r="I47" s="446"/>
      <c r="J47" s="304"/>
      <c r="K47" s="444" t="s">
        <v>193</v>
      </c>
      <c r="L47" s="445"/>
      <c r="M47" s="445"/>
      <c r="N47" s="445"/>
      <c r="O47" s="445"/>
      <c r="P47" s="445"/>
      <c r="Q47" s="445"/>
      <c r="R47" s="446"/>
      <c r="S47" s="274"/>
    </row>
    <row r="48" spans="2:102" ht="42" customHeight="1" x14ac:dyDescent="0.2">
      <c r="B48" s="273"/>
      <c r="C48" s="287"/>
      <c r="D48" s="288"/>
      <c r="E48" s="288"/>
      <c r="F48" s="288"/>
      <c r="G48" s="288"/>
      <c r="H48" s="271"/>
      <c r="I48" s="272"/>
      <c r="J48" s="242"/>
      <c r="K48" s="282" t="s">
        <v>20</v>
      </c>
      <c r="L48" s="282" t="s">
        <v>21</v>
      </c>
      <c r="M48" s="282" t="s">
        <v>85</v>
      </c>
      <c r="N48" s="282" t="s">
        <v>86</v>
      </c>
      <c r="O48" s="282" t="s">
        <v>83</v>
      </c>
      <c r="P48" s="282" t="s">
        <v>84</v>
      </c>
      <c r="Q48" s="282" t="s">
        <v>81</v>
      </c>
      <c r="R48" s="282" t="s">
        <v>82</v>
      </c>
      <c r="S48" s="274"/>
    </row>
    <row r="49" spans="2:19" x14ac:dyDescent="0.2">
      <c r="B49" s="273"/>
      <c r="C49" s="289"/>
      <c r="D49" s="193"/>
      <c r="E49" s="193"/>
      <c r="F49" s="193"/>
      <c r="G49" s="193"/>
      <c r="H49" s="242"/>
      <c r="I49" s="243"/>
      <c r="J49" s="242"/>
      <c r="K49" s="308">
        <v>38449</v>
      </c>
      <c r="L49" s="309">
        <v>0.34166666666666662</v>
      </c>
      <c r="M49" s="310">
        <v>0.16784006504011803</v>
      </c>
      <c r="N49" s="311" t="s">
        <v>168</v>
      </c>
      <c r="O49" s="312">
        <f>M49*$G$59</f>
        <v>27.899999999999995</v>
      </c>
      <c r="P49" s="313" t="s">
        <v>168</v>
      </c>
      <c r="Q49" s="303">
        <f>M49*$G$54</f>
        <v>167840.06504011803</v>
      </c>
      <c r="R49" s="299" t="s">
        <v>168</v>
      </c>
      <c r="S49" s="274"/>
    </row>
    <row r="50" spans="2:19" x14ac:dyDescent="0.2">
      <c r="B50" s="273"/>
      <c r="C50" s="289"/>
      <c r="D50" s="458" t="s">
        <v>185</v>
      </c>
      <c r="E50" s="458"/>
      <c r="F50" s="458"/>
      <c r="G50" s="458"/>
      <c r="H50" s="458"/>
      <c r="I50" s="243"/>
      <c r="J50" s="242"/>
      <c r="K50" s="308">
        <v>38449</v>
      </c>
      <c r="L50" s="309">
        <v>0.38124999999999998</v>
      </c>
      <c r="M50" s="311" t="s">
        <v>168</v>
      </c>
      <c r="N50" s="310">
        <v>0.17144952880442166</v>
      </c>
      <c r="O50" s="313" t="s">
        <v>168</v>
      </c>
      <c r="P50" s="313">
        <f>N50*$G$59</f>
        <v>28.5</v>
      </c>
      <c r="Q50" s="299" t="s">
        <v>168</v>
      </c>
      <c r="R50" s="303">
        <f>N50*$G$54</f>
        <v>171449.52880442166</v>
      </c>
      <c r="S50" s="274"/>
    </row>
    <row r="51" spans="2:19" x14ac:dyDescent="0.2">
      <c r="B51" s="273"/>
      <c r="C51" s="289"/>
      <c r="D51" s="193"/>
      <c r="E51" s="193"/>
      <c r="F51" s="193"/>
      <c r="G51" s="193"/>
      <c r="H51" s="242"/>
      <c r="I51" s="243"/>
      <c r="J51" s="242"/>
      <c r="K51" s="308">
        <v>38449</v>
      </c>
      <c r="L51" s="309">
        <v>0.57916666666666672</v>
      </c>
      <c r="M51" s="310">
        <v>0.16242586939366263</v>
      </c>
      <c r="N51" s="311" t="s">
        <v>168</v>
      </c>
      <c r="O51" s="312">
        <f>M51*$G$59</f>
        <v>27</v>
      </c>
      <c r="P51" s="313" t="s">
        <v>168</v>
      </c>
      <c r="Q51" s="303">
        <f>M51*$G$54</f>
        <v>162425.86939366264</v>
      </c>
      <c r="R51" s="299" t="s">
        <v>168</v>
      </c>
      <c r="S51" s="274"/>
    </row>
    <row r="52" spans="2:19" x14ac:dyDescent="0.2">
      <c r="B52" s="273"/>
      <c r="C52" s="289"/>
      <c r="D52" s="193"/>
      <c r="E52" s="193"/>
      <c r="F52" s="193"/>
      <c r="G52" s="193"/>
      <c r="H52" s="242"/>
      <c r="I52" s="243"/>
      <c r="J52" s="242"/>
      <c r="K52" s="308">
        <v>38449</v>
      </c>
      <c r="L52" s="309">
        <v>0.65902777777777777</v>
      </c>
      <c r="M52" s="311" t="s">
        <v>168</v>
      </c>
      <c r="N52" s="310">
        <v>0.17205110609847227</v>
      </c>
      <c r="O52" s="313" t="s">
        <v>168</v>
      </c>
      <c r="P52" s="313">
        <f>N52*$G$59</f>
        <v>28.6</v>
      </c>
      <c r="Q52" s="299" t="s">
        <v>168</v>
      </c>
      <c r="R52" s="303">
        <f>N52*$G$54</f>
        <v>172051.10609847226</v>
      </c>
      <c r="S52" s="274"/>
    </row>
    <row r="53" spans="2:19" x14ac:dyDescent="0.2">
      <c r="B53" s="273"/>
      <c r="C53" s="249"/>
      <c r="D53" s="305" t="s">
        <v>196</v>
      </c>
      <c r="E53" s="193"/>
      <c r="F53" s="242"/>
      <c r="G53" s="242"/>
      <c r="H53" s="242"/>
      <c r="I53" s="243"/>
      <c r="J53" s="242"/>
      <c r="K53" s="308">
        <v>38449</v>
      </c>
      <c r="L53" s="309">
        <v>0.82638888888888884</v>
      </c>
      <c r="M53" s="310">
        <v>0.16242586939366263</v>
      </c>
      <c r="N53" s="311" t="s">
        <v>168</v>
      </c>
      <c r="O53" s="312">
        <f>M53*$G$59</f>
        <v>27</v>
      </c>
      <c r="P53" s="313" t="s">
        <v>168</v>
      </c>
      <c r="Q53" s="303">
        <f>M53*$G$54</f>
        <v>162425.86939366264</v>
      </c>
      <c r="R53" s="299" t="s">
        <v>168</v>
      </c>
      <c r="S53" s="274"/>
    </row>
    <row r="54" spans="2:19" x14ac:dyDescent="0.2">
      <c r="B54" s="273"/>
      <c r="C54" s="249"/>
      <c r="D54" s="242"/>
      <c r="E54" s="193"/>
      <c r="F54" s="290" t="s">
        <v>184</v>
      </c>
      <c r="G54" s="453">
        <v>1000000</v>
      </c>
      <c r="H54" s="453"/>
      <c r="I54" s="295" t="s">
        <v>188</v>
      </c>
      <c r="J54" s="242"/>
      <c r="K54" s="308">
        <v>38449</v>
      </c>
      <c r="L54" s="309">
        <v>0.95208333333333339</v>
      </c>
      <c r="M54" s="311" t="s">
        <v>168</v>
      </c>
      <c r="N54" s="310">
        <v>0.17265268339252288</v>
      </c>
      <c r="O54" s="313" t="s">
        <v>168</v>
      </c>
      <c r="P54" s="313">
        <f>N54*$G$59</f>
        <v>28.7</v>
      </c>
      <c r="Q54" s="299" t="s">
        <v>168</v>
      </c>
      <c r="R54" s="303">
        <f>N54*$G$54</f>
        <v>172652.68339252289</v>
      </c>
      <c r="S54" s="274"/>
    </row>
    <row r="55" spans="2:19" x14ac:dyDescent="0.2">
      <c r="B55" s="273"/>
      <c r="C55" s="249"/>
      <c r="D55" s="193"/>
      <c r="E55" s="193"/>
      <c r="F55" s="193"/>
      <c r="G55" s="193"/>
      <c r="H55" s="193"/>
      <c r="I55" s="296"/>
      <c r="J55" s="242"/>
      <c r="K55" s="308">
        <v>38450</v>
      </c>
      <c r="L55" s="309">
        <v>0.27083333333333331</v>
      </c>
      <c r="M55" s="310">
        <v>0.16242586939366263</v>
      </c>
      <c r="N55" s="311" t="s">
        <v>168</v>
      </c>
      <c r="O55" s="312">
        <f>M55*$G$59</f>
        <v>27</v>
      </c>
      <c r="P55" s="313" t="s">
        <v>168</v>
      </c>
      <c r="Q55" s="303">
        <f>M55*$G$54</f>
        <v>162425.86939366264</v>
      </c>
      <c r="R55" s="299" t="s">
        <v>168</v>
      </c>
      <c r="S55" s="274"/>
    </row>
    <row r="56" spans="2:19" x14ac:dyDescent="0.2">
      <c r="B56" s="273"/>
      <c r="C56" s="249"/>
      <c r="D56" s="242"/>
      <c r="E56" s="193"/>
      <c r="F56" s="290" t="s">
        <v>186</v>
      </c>
      <c r="G56" s="454">
        <v>32</v>
      </c>
      <c r="H56" s="454"/>
      <c r="I56" s="297" t="s">
        <v>1</v>
      </c>
      <c r="J56" s="242"/>
      <c r="K56" s="308">
        <v>38450</v>
      </c>
      <c r="L56" s="309">
        <v>0.3611111111111111</v>
      </c>
      <c r="M56" s="311" t="s">
        <v>168</v>
      </c>
      <c r="N56" s="310">
        <v>0.17205110609847227</v>
      </c>
      <c r="O56" s="313" t="s">
        <v>168</v>
      </c>
      <c r="P56" s="313">
        <f>N56*$G$59</f>
        <v>28.6</v>
      </c>
      <c r="Q56" s="299" t="s">
        <v>168</v>
      </c>
      <c r="R56" s="303">
        <f>N56*$G$54</f>
        <v>172051.10609847226</v>
      </c>
      <c r="S56" s="274"/>
    </row>
    <row r="57" spans="2:19" x14ac:dyDescent="0.2">
      <c r="B57" s="273"/>
      <c r="C57" s="249"/>
      <c r="D57" s="291"/>
      <c r="E57" s="193"/>
      <c r="F57" s="242"/>
      <c r="G57" s="292"/>
      <c r="H57" s="193"/>
      <c r="I57" s="243"/>
      <c r="J57" s="242"/>
      <c r="K57" s="308">
        <v>38450</v>
      </c>
      <c r="L57" s="309">
        <v>0.61388888888888882</v>
      </c>
      <c r="M57" s="310">
        <v>0.16062113751151083</v>
      </c>
      <c r="N57" s="311" t="s">
        <v>168</v>
      </c>
      <c r="O57" s="312">
        <f>M57*$G$59</f>
        <v>26.700000000000003</v>
      </c>
      <c r="P57" s="313" t="s">
        <v>168</v>
      </c>
      <c r="Q57" s="303">
        <f>M57*$G$54</f>
        <v>160621.13751151084</v>
      </c>
      <c r="R57" s="299" t="s">
        <v>168</v>
      </c>
      <c r="S57" s="274"/>
    </row>
    <row r="58" spans="2:19" x14ac:dyDescent="0.2">
      <c r="B58" s="273"/>
      <c r="C58" s="249"/>
      <c r="D58" s="306" t="s">
        <v>197</v>
      </c>
      <c r="E58" s="193"/>
      <c r="F58" s="242"/>
      <c r="G58" s="292"/>
      <c r="H58" s="193"/>
      <c r="I58" s="243"/>
      <c r="J58" s="242"/>
      <c r="K58" s="308">
        <v>38450</v>
      </c>
      <c r="L58" s="309">
        <v>0.70833333333333337</v>
      </c>
      <c r="M58" s="311" t="s">
        <v>168</v>
      </c>
      <c r="N58" s="310">
        <v>0.17205110609847227</v>
      </c>
      <c r="O58" s="313" t="s">
        <v>168</v>
      </c>
      <c r="P58" s="313">
        <f>N58*$G$59</f>
        <v>28.6</v>
      </c>
      <c r="Q58" s="299" t="s">
        <v>168</v>
      </c>
      <c r="R58" s="303">
        <f>N58*$G$54</f>
        <v>172051.10609847226</v>
      </c>
      <c r="S58" s="274"/>
    </row>
    <row r="59" spans="2:19" x14ac:dyDescent="0.2">
      <c r="B59" s="273"/>
      <c r="C59" s="249"/>
      <c r="D59" s="242"/>
      <c r="E59" s="193"/>
      <c r="F59" s="290" t="s">
        <v>187</v>
      </c>
      <c r="G59" s="454">
        <f>G54/(PI()*((G56/2)^2)*7.48)</f>
        <v>166.22967819591341</v>
      </c>
      <c r="H59" s="454"/>
      <c r="I59" s="297" t="s">
        <v>1</v>
      </c>
      <c r="J59" s="242"/>
      <c r="K59" s="308">
        <v>38450</v>
      </c>
      <c r="L59" s="309">
        <v>0.86805555555555547</v>
      </c>
      <c r="M59" s="310">
        <v>0.16242586939366263</v>
      </c>
      <c r="N59" s="311" t="s">
        <v>168</v>
      </c>
      <c r="O59" s="312">
        <f>M59*$G$59</f>
        <v>27</v>
      </c>
      <c r="P59" s="313" t="s">
        <v>168</v>
      </c>
      <c r="Q59" s="303">
        <f>M59*$G$54</f>
        <v>162425.86939366264</v>
      </c>
      <c r="R59" s="299" t="s">
        <v>168</v>
      </c>
      <c r="S59" s="274"/>
    </row>
    <row r="60" spans="2:19" x14ac:dyDescent="0.2">
      <c r="B60" s="273"/>
      <c r="C60" s="249"/>
      <c r="D60" s="242"/>
      <c r="E60" s="242"/>
      <c r="F60" s="242"/>
      <c r="G60" s="242"/>
      <c r="H60" s="242"/>
      <c r="I60" s="243"/>
      <c r="J60" s="242"/>
      <c r="K60" s="308">
        <v>38450</v>
      </c>
      <c r="L60" s="309">
        <v>0.97638888888888886</v>
      </c>
      <c r="M60" s="311" t="s">
        <v>168</v>
      </c>
      <c r="N60" s="310">
        <v>0.17205110609847227</v>
      </c>
      <c r="O60" s="313" t="s">
        <v>168</v>
      </c>
      <c r="P60" s="313">
        <f>N60*$G$59</f>
        <v>28.6</v>
      </c>
      <c r="Q60" s="299" t="s">
        <v>168</v>
      </c>
      <c r="R60" s="303">
        <f>N60*$G$54</f>
        <v>172051.10609847226</v>
      </c>
      <c r="S60" s="274"/>
    </row>
    <row r="61" spans="2:19" x14ac:dyDescent="0.2">
      <c r="B61" s="273"/>
      <c r="C61" s="249"/>
      <c r="D61" s="242"/>
      <c r="E61" s="242"/>
      <c r="F61" s="242"/>
      <c r="G61" s="242"/>
      <c r="H61" s="242"/>
      <c r="I61" s="243"/>
      <c r="J61" s="242"/>
      <c r="K61" s="314"/>
      <c r="L61" s="315"/>
      <c r="M61" s="316"/>
      <c r="N61" s="316"/>
      <c r="O61" s="293"/>
      <c r="P61" s="317"/>
      <c r="Q61" s="292"/>
      <c r="R61" s="294"/>
      <c r="S61" s="274"/>
    </row>
    <row r="62" spans="2:19" x14ac:dyDescent="0.2">
      <c r="B62" s="273"/>
      <c r="C62" s="249"/>
      <c r="D62" s="242"/>
      <c r="E62" s="242"/>
      <c r="F62" s="242"/>
      <c r="G62" s="242"/>
      <c r="H62" s="242"/>
      <c r="I62" s="243"/>
      <c r="J62" s="242"/>
      <c r="K62" s="447" t="s">
        <v>198</v>
      </c>
      <c r="L62" s="448"/>
      <c r="M62" s="448"/>
      <c r="N62" s="448"/>
      <c r="O62" s="448"/>
      <c r="P62" s="448"/>
      <c r="Q62" s="448"/>
      <c r="R62" s="449"/>
      <c r="S62" s="274"/>
    </row>
    <row r="63" spans="2:19" x14ac:dyDescent="0.2">
      <c r="B63" s="261"/>
      <c r="C63" s="249"/>
      <c r="D63" s="242"/>
      <c r="E63" s="242"/>
      <c r="F63" s="242"/>
      <c r="G63" s="242"/>
      <c r="H63" s="242"/>
      <c r="I63" s="243"/>
      <c r="J63" s="242"/>
      <c r="K63" s="250"/>
      <c r="L63" s="242"/>
      <c r="M63" s="242"/>
      <c r="N63" s="242"/>
      <c r="O63" s="290"/>
      <c r="P63" s="301"/>
      <c r="Q63" s="242"/>
      <c r="R63" s="254"/>
      <c r="S63" s="207"/>
    </row>
    <row r="64" spans="2:19" x14ac:dyDescent="0.2">
      <c r="B64" s="261"/>
      <c r="C64" s="249"/>
      <c r="D64" s="242"/>
      <c r="E64" s="242"/>
      <c r="F64" s="242"/>
      <c r="G64" s="242"/>
      <c r="H64" s="242"/>
      <c r="I64" s="243"/>
      <c r="J64" s="242"/>
      <c r="K64" s="250"/>
      <c r="L64" s="242"/>
      <c r="M64" s="242"/>
      <c r="N64" s="242"/>
      <c r="O64" s="290" t="s">
        <v>190</v>
      </c>
      <c r="P64" s="253">
        <f>MAX(P49:P60)</f>
        <v>28.7</v>
      </c>
      <c r="Q64" s="242" t="s">
        <v>1</v>
      </c>
      <c r="R64" s="243"/>
      <c r="S64" s="207"/>
    </row>
    <row r="65" spans="2:19" x14ac:dyDescent="0.2">
      <c r="B65" s="261"/>
      <c r="C65" s="249"/>
      <c r="D65" s="242"/>
      <c r="E65" s="242"/>
      <c r="F65" s="242"/>
      <c r="G65" s="242"/>
      <c r="H65" s="242"/>
      <c r="I65" s="243"/>
      <c r="J65" s="242"/>
      <c r="K65" s="250"/>
      <c r="L65" s="251"/>
      <c r="M65" s="242"/>
      <c r="N65" s="252"/>
      <c r="O65" s="302" t="s">
        <v>189</v>
      </c>
      <c r="P65" s="255">
        <f>G56</f>
        <v>32</v>
      </c>
      <c r="Q65" s="242" t="s">
        <v>1</v>
      </c>
      <c r="R65" s="254"/>
      <c r="S65" s="207"/>
    </row>
    <row r="66" spans="2:19" x14ac:dyDescent="0.2">
      <c r="B66" s="261"/>
      <c r="C66" s="249"/>
      <c r="D66" s="242"/>
      <c r="E66" s="242"/>
      <c r="F66" s="242"/>
      <c r="G66" s="242"/>
      <c r="H66" s="242"/>
      <c r="I66" s="243"/>
      <c r="J66" s="242"/>
      <c r="K66" s="250"/>
      <c r="L66" s="242"/>
      <c r="M66" s="242"/>
      <c r="N66" s="242"/>
      <c r="O66" s="290" t="s">
        <v>191</v>
      </c>
      <c r="P66" s="300">
        <f>P64/P65</f>
        <v>0.89687499999999998</v>
      </c>
      <c r="Q66" s="242"/>
      <c r="R66" s="243"/>
      <c r="S66" s="207"/>
    </row>
    <row r="67" spans="2:19" x14ac:dyDescent="0.2">
      <c r="B67" s="261"/>
      <c r="C67" s="256"/>
      <c r="D67" s="247"/>
      <c r="E67" s="247"/>
      <c r="F67" s="247"/>
      <c r="G67" s="247"/>
      <c r="H67" s="247"/>
      <c r="I67" s="248"/>
      <c r="J67" s="242"/>
      <c r="K67" s="256"/>
      <c r="L67" s="247"/>
      <c r="M67" s="247"/>
      <c r="N67" s="247"/>
      <c r="O67" s="257"/>
      <c r="P67" s="258"/>
      <c r="Q67" s="247"/>
      <c r="R67" s="259"/>
      <c r="S67" s="207"/>
    </row>
    <row r="68" spans="2:19" x14ac:dyDescent="0.2">
      <c r="B68" s="261"/>
      <c r="C68" s="193"/>
      <c r="D68" s="193"/>
      <c r="E68" s="193"/>
      <c r="F68" s="193"/>
      <c r="G68" s="193"/>
      <c r="H68" s="193"/>
      <c r="I68" s="193"/>
      <c r="J68" s="193"/>
      <c r="K68" s="193"/>
      <c r="L68" s="193"/>
      <c r="M68" s="193"/>
      <c r="N68" s="193"/>
      <c r="O68" s="193"/>
      <c r="P68" s="193"/>
      <c r="Q68" s="193"/>
      <c r="R68" s="193"/>
      <c r="S68" s="207"/>
    </row>
    <row r="69" spans="2:19" x14ac:dyDescent="0.2">
      <c r="B69" s="450" t="s">
        <v>200</v>
      </c>
      <c r="C69" s="451"/>
      <c r="D69" s="451"/>
      <c r="E69" s="451"/>
      <c r="F69" s="451"/>
      <c r="G69" s="451"/>
      <c r="H69" s="451"/>
      <c r="I69" s="451"/>
      <c r="J69" s="451"/>
      <c r="K69" s="451"/>
      <c r="L69" s="451"/>
      <c r="M69" s="451"/>
      <c r="N69" s="451"/>
      <c r="O69" s="451"/>
      <c r="P69" s="451"/>
      <c r="Q69" s="451"/>
      <c r="R69" s="451"/>
      <c r="S69" s="452"/>
    </row>
    <row r="70" spans="2:19" x14ac:dyDescent="0.2">
      <c r="B70" s="261"/>
      <c r="C70" s="193"/>
      <c r="D70" s="193"/>
      <c r="E70" s="193"/>
      <c r="F70" s="193"/>
      <c r="G70" s="193"/>
      <c r="H70" s="193"/>
      <c r="I70" s="193"/>
      <c r="J70" s="193"/>
      <c r="K70" s="193"/>
      <c r="L70" s="193"/>
      <c r="M70" s="193"/>
      <c r="N70" s="193"/>
      <c r="O70" s="193"/>
      <c r="P70" s="193"/>
      <c r="Q70" s="193"/>
      <c r="R70" s="193"/>
      <c r="S70" s="207"/>
    </row>
    <row r="71" spans="2:19" x14ac:dyDescent="0.2">
      <c r="B71" s="261"/>
      <c r="C71" s="444" t="s">
        <v>201</v>
      </c>
      <c r="D71" s="445"/>
      <c r="E71" s="445"/>
      <c r="F71" s="445"/>
      <c r="G71" s="445"/>
      <c r="H71" s="445"/>
      <c r="I71" s="445"/>
      <c r="J71" s="445"/>
      <c r="K71" s="446"/>
      <c r="L71" s="152"/>
      <c r="M71" s="462" t="s">
        <v>203</v>
      </c>
      <c r="N71" s="463"/>
      <c r="O71" s="463"/>
      <c r="P71" s="463"/>
      <c r="Q71" s="463"/>
      <c r="R71" s="464"/>
      <c r="S71" s="207"/>
    </row>
    <row r="72" spans="2:19" ht="38.25" x14ac:dyDescent="0.2">
      <c r="B72" s="261"/>
      <c r="C72" s="287"/>
      <c r="D72" s="288"/>
      <c r="E72" s="288"/>
      <c r="F72" s="271"/>
      <c r="G72" s="280" t="s">
        <v>87</v>
      </c>
      <c r="H72" s="280" t="s">
        <v>179</v>
      </c>
      <c r="I72" s="271"/>
      <c r="J72" s="271"/>
      <c r="K72" s="272"/>
      <c r="L72" s="241"/>
      <c r="M72" s="281" t="s">
        <v>20</v>
      </c>
      <c r="N72" s="281" t="s">
        <v>21</v>
      </c>
      <c r="O72" s="318" t="s">
        <v>204</v>
      </c>
      <c r="P72" s="318" t="s">
        <v>205</v>
      </c>
      <c r="Q72" s="318" t="s">
        <v>174</v>
      </c>
      <c r="R72" s="318" t="s">
        <v>206</v>
      </c>
      <c r="S72" s="207"/>
    </row>
    <row r="73" spans="2:19" x14ac:dyDescent="0.2">
      <c r="B73" s="261"/>
      <c r="C73" s="289"/>
      <c r="D73" s="193"/>
      <c r="E73" s="217"/>
      <c r="F73" s="307" t="s">
        <v>89</v>
      </c>
      <c r="G73" s="253">
        <v>62</v>
      </c>
      <c r="H73" s="253">
        <v>28</v>
      </c>
      <c r="I73" s="242"/>
      <c r="J73" s="242"/>
      <c r="K73" s="243"/>
      <c r="L73" s="241"/>
      <c r="M73" s="283">
        <v>38939</v>
      </c>
      <c r="N73" s="284">
        <v>0.375</v>
      </c>
      <c r="O73" s="285">
        <v>58.677411315111733</v>
      </c>
      <c r="P73" s="285" t="s">
        <v>168</v>
      </c>
      <c r="Q73" s="285">
        <f>2.4074*O73-121.26</f>
        <v>19.999999999999986</v>
      </c>
      <c r="R73" s="285" t="s">
        <v>168</v>
      </c>
      <c r="S73" s="207"/>
    </row>
    <row r="74" spans="2:19" x14ac:dyDescent="0.2">
      <c r="B74" s="261"/>
      <c r="C74" s="289"/>
      <c r="D74" s="193"/>
      <c r="E74" s="193"/>
      <c r="F74" s="307" t="s">
        <v>88</v>
      </c>
      <c r="G74" s="253">
        <v>56.6</v>
      </c>
      <c r="H74" s="253">
        <v>15</v>
      </c>
      <c r="I74" s="242"/>
      <c r="J74" s="242"/>
      <c r="K74" s="243"/>
      <c r="L74" s="241"/>
      <c r="M74" s="283">
        <v>38939</v>
      </c>
      <c r="N74" s="284">
        <v>0.70833333333333337</v>
      </c>
      <c r="O74" s="285" t="s">
        <v>168</v>
      </c>
      <c r="P74" s="285">
        <v>61.875882695023684</v>
      </c>
      <c r="Q74" s="285" t="s">
        <v>168</v>
      </c>
      <c r="R74" s="285">
        <f>2.4074*P74-121.26</f>
        <v>27.700000000000003</v>
      </c>
      <c r="S74" s="207"/>
    </row>
    <row r="75" spans="2:19" x14ac:dyDescent="0.2">
      <c r="B75" s="261"/>
      <c r="C75" s="244"/>
      <c r="D75" s="245"/>
      <c r="E75" s="242"/>
      <c r="F75" s="242"/>
      <c r="G75" s="242"/>
      <c r="H75" s="242"/>
      <c r="I75" s="242"/>
      <c r="J75" s="242"/>
      <c r="K75" s="243"/>
      <c r="L75" s="241"/>
      <c r="M75" s="283">
        <v>38940</v>
      </c>
      <c r="N75" s="284">
        <v>0.45833333333333331</v>
      </c>
      <c r="O75" s="285">
        <v>58.843565672509762</v>
      </c>
      <c r="P75" s="285" t="s">
        <v>168</v>
      </c>
      <c r="Q75" s="285">
        <f>2.4074*O75-121.26</f>
        <v>20.399999999999991</v>
      </c>
      <c r="R75" s="285" t="s">
        <v>168</v>
      </c>
      <c r="S75" s="207"/>
    </row>
    <row r="76" spans="2:19" x14ac:dyDescent="0.2">
      <c r="B76" s="261"/>
      <c r="C76" s="244"/>
      <c r="D76" s="245"/>
      <c r="E76" s="242"/>
      <c r="F76" s="242"/>
      <c r="G76" s="242"/>
      <c r="H76" s="242"/>
      <c r="I76" s="242"/>
      <c r="J76" s="242"/>
      <c r="K76" s="243"/>
      <c r="L76" s="241"/>
      <c r="M76" s="283">
        <v>38940</v>
      </c>
      <c r="N76" s="284">
        <v>0.77083333333333337</v>
      </c>
      <c r="O76" s="285" t="s">
        <v>168</v>
      </c>
      <c r="P76" s="285">
        <v>61.668189748276156</v>
      </c>
      <c r="Q76" s="285" t="s">
        <v>168</v>
      </c>
      <c r="R76" s="285">
        <f>2.4074*P76-121.26</f>
        <v>27.200000000000003</v>
      </c>
      <c r="S76" s="207"/>
    </row>
    <row r="77" spans="2:19" x14ac:dyDescent="0.2">
      <c r="B77" s="261"/>
      <c r="C77" s="244"/>
      <c r="D77" s="245"/>
      <c r="E77" s="242"/>
      <c r="F77" s="242"/>
      <c r="G77" s="242"/>
      <c r="H77" s="242"/>
      <c r="I77" s="242"/>
      <c r="J77" s="242"/>
      <c r="K77" s="243"/>
      <c r="L77" s="241"/>
      <c r="M77" s="283">
        <v>38941</v>
      </c>
      <c r="N77" s="284">
        <v>0.45833333333333331</v>
      </c>
      <c r="O77" s="285">
        <v>59.05125861925729</v>
      </c>
      <c r="P77" s="285" t="s">
        <v>168</v>
      </c>
      <c r="Q77" s="285">
        <f>2.4074*O77-121.26</f>
        <v>20.899999999999991</v>
      </c>
      <c r="R77" s="285" t="s">
        <v>168</v>
      </c>
      <c r="S77" s="207"/>
    </row>
    <row r="78" spans="2:19" x14ac:dyDescent="0.2">
      <c r="B78" s="261"/>
      <c r="C78" s="244"/>
      <c r="D78" s="245"/>
      <c r="E78" s="242"/>
      <c r="F78" s="242"/>
      <c r="G78" s="242"/>
      <c r="H78" s="242"/>
      <c r="I78" s="242"/>
      <c r="J78" s="242"/>
      <c r="K78" s="243"/>
      <c r="L78" s="241"/>
      <c r="M78" s="283">
        <v>38941</v>
      </c>
      <c r="N78" s="284">
        <v>0.79166666666666663</v>
      </c>
      <c r="O78" s="285" t="s">
        <v>168</v>
      </c>
      <c r="P78" s="285">
        <v>62.000498463072191</v>
      </c>
      <c r="Q78" s="285" t="s">
        <v>168</v>
      </c>
      <c r="R78" s="285">
        <f>2.4074*P78-121.26</f>
        <v>27.999999999999986</v>
      </c>
      <c r="S78" s="207"/>
    </row>
    <row r="79" spans="2:19" x14ac:dyDescent="0.2">
      <c r="B79" s="261"/>
      <c r="C79" s="244"/>
      <c r="D79" s="245"/>
      <c r="E79" s="242"/>
      <c r="F79" s="242"/>
      <c r="G79" s="242"/>
      <c r="H79" s="242"/>
      <c r="I79" s="242"/>
      <c r="J79" s="242"/>
      <c r="K79" s="243"/>
      <c r="L79" s="241"/>
      <c r="M79" s="283">
        <v>38942</v>
      </c>
      <c r="N79" s="284">
        <v>0.54166666666666663</v>
      </c>
      <c r="O79" s="285">
        <v>58.926642851208776</v>
      </c>
      <c r="P79" s="285" t="s">
        <v>168</v>
      </c>
      <c r="Q79" s="285">
        <f>2.4074*O79-121.26</f>
        <v>20.600000000000009</v>
      </c>
      <c r="R79" s="285" t="s">
        <v>168</v>
      </c>
      <c r="S79" s="207"/>
    </row>
    <row r="80" spans="2:19" x14ac:dyDescent="0.2">
      <c r="B80" s="261"/>
      <c r="C80" s="244"/>
      <c r="D80" s="245"/>
      <c r="E80" s="242"/>
      <c r="F80" s="242"/>
      <c r="G80" s="242"/>
      <c r="H80" s="242"/>
      <c r="I80" s="242"/>
      <c r="J80" s="242"/>
      <c r="K80" s="243"/>
      <c r="L80" s="241"/>
      <c r="M80" s="283">
        <v>38942</v>
      </c>
      <c r="N80" s="284">
        <v>0.79166666666666663</v>
      </c>
      <c r="O80" s="285" t="s">
        <v>168</v>
      </c>
      <c r="P80" s="285">
        <v>61.502035390878127</v>
      </c>
      <c r="Q80" s="285" t="s">
        <v>168</v>
      </c>
      <c r="R80" s="285">
        <f>2.4074*P80-121.26</f>
        <v>26.799999999999997</v>
      </c>
      <c r="S80" s="207"/>
    </row>
    <row r="81" spans="2:19" x14ac:dyDescent="0.2">
      <c r="B81" s="261"/>
      <c r="C81" s="244"/>
      <c r="D81" s="245"/>
      <c r="E81" s="242"/>
      <c r="F81" s="242"/>
      <c r="G81" s="242"/>
      <c r="H81" s="242"/>
      <c r="I81" s="242"/>
      <c r="J81" s="242"/>
      <c r="K81" s="243"/>
      <c r="L81" s="241"/>
      <c r="M81" s="283">
        <v>38943</v>
      </c>
      <c r="N81" s="284">
        <v>0.29166666666666669</v>
      </c>
      <c r="O81" s="285">
        <v>59.09279720860679</v>
      </c>
      <c r="P81" s="285" t="s">
        <v>168</v>
      </c>
      <c r="Q81" s="285">
        <f>2.4074*O81-121.26</f>
        <v>20.999999999999986</v>
      </c>
      <c r="R81" s="285" t="s">
        <v>168</v>
      </c>
      <c r="S81" s="207"/>
    </row>
    <row r="82" spans="2:19" x14ac:dyDescent="0.2">
      <c r="B82" s="261"/>
      <c r="C82" s="244"/>
      <c r="D82" s="245"/>
      <c r="E82" s="242"/>
      <c r="F82" s="242"/>
      <c r="G82" s="242"/>
      <c r="H82" s="242"/>
      <c r="I82" s="242"/>
      <c r="J82" s="242"/>
      <c r="K82" s="243"/>
      <c r="L82" s="241"/>
      <c r="M82" s="283">
        <v>38943</v>
      </c>
      <c r="N82" s="284">
        <v>0.70833333333333337</v>
      </c>
      <c r="O82" s="285" t="s">
        <v>168</v>
      </c>
      <c r="P82" s="285">
        <v>61.834344105674177</v>
      </c>
      <c r="Q82" s="285" t="s">
        <v>168</v>
      </c>
      <c r="R82" s="285">
        <f>2.4074*P82-121.26</f>
        <v>27.600000000000009</v>
      </c>
      <c r="S82" s="207"/>
    </row>
    <row r="83" spans="2:19" x14ac:dyDescent="0.2">
      <c r="B83" s="261"/>
      <c r="C83" s="244"/>
      <c r="D83" s="245"/>
      <c r="E83" s="242"/>
      <c r="F83" s="242"/>
      <c r="G83" s="242"/>
      <c r="H83" s="242"/>
      <c r="I83" s="242"/>
      <c r="J83" s="242"/>
      <c r="K83" s="243"/>
      <c r="L83" s="241"/>
      <c r="M83" s="283">
        <v>38944</v>
      </c>
      <c r="N83" s="284">
        <v>0.375</v>
      </c>
      <c r="O83" s="285">
        <v>58.802027083160255</v>
      </c>
      <c r="P83" s="285" t="s">
        <v>168</v>
      </c>
      <c r="Q83" s="285">
        <f>2.4074*O83-121.26</f>
        <v>20.299999999999997</v>
      </c>
      <c r="R83" s="285" t="s">
        <v>168</v>
      </c>
      <c r="S83" s="207"/>
    </row>
    <row r="84" spans="2:19" x14ac:dyDescent="0.2">
      <c r="B84" s="261"/>
      <c r="C84" s="244"/>
      <c r="D84" s="245"/>
      <c r="E84" s="242"/>
      <c r="F84" s="242"/>
      <c r="G84" s="242"/>
      <c r="H84" s="242"/>
      <c r="I84" s="242"/>
      <c r="J84" s="242"/>
      <c r="K84" s="243"/>
      <c r="L84" s="241"/>
      <c r="M84" s="283">
        <v>38944</v>
      </c>
      <c r="N84" s="284">
        <v>0.70833333333333337</v>
      </c>
      <c r="O84" s="285" t="s">
        <v>168</v>
      </c>
      <c r="P84" s="285">
        <v>62.000498463072191</v>
      </c>
      <c r="Q84" s="285" t="s">
        <v>168</v>
      </c>
      <c r="R84" s="285">
        <f>2.4074*P84-121.26</f>
        <v>27.999999999999986</v>
      </c>
      <c r="S84" s="207"/>
    </row>
    <row r="85" spans="2:19" x14ac:dyDescent="0.2">
      <c r="B85" s="261"/>
      <c r="C85" s="244"/>
      <c r="D85" s="245"/>
      <c r="E85" s="242"/>
      <c r="F85" s="242"/>
      <c r="G85" s="242"/>
      <c r="H85" s="242"/>
      <c r="I85" s="242"/>
      <c r="J85" s="242"/>
      <c r="K85" s="243"/>
      <c r="L85" s="241"/>
      <c r="M85" s="283">
        <v>38945</v>
      </c>
      <c r="N85" s="284">
        <v>0.375</v>
      </c>
      <c r="O85" s="285">
        <v>58.926642851208776</v>
      </c>
      <c r="P85" s="285" t="s">
        <v>168</v>
      </c>
      <c r="Q85" s="285">
        <f>2.4074*O85-121.26</f>
        <v>20.600000000000009</v>
      </c>
      <c r="R85" s="285" t="s">
        <v>168</v>
      </c>
      <c r="S85" s="207"/>
    </row>
    <row r="86" spans="2:19" x14ac:dyDescent="0.2">
      <c r="B86" s="261"/>
      <c r="C86" s="244"/>
      <c r="D86" s="245"/>
      <c r="E86" s="242"/>
      <c r="F86" s="242"/>
      <c r="G86" s="242"/>
      <c r="H86" s="242"/>
      <c r="I86" s="242"/>
      <c r="J86" s="242"/>
      <c r="K86" s="243"/>
      <c r="L86" s="241"/>
      <c r="M86" s="283">
        <v>38945</v>
      </c>
      <c r="N86" s="284">
        <v>0.70833333333333337</v>
      </c>
      <c r="O86" s="285" t="s">
        <v>168</v>
      </c>
      <c r="P86" s="285">
        <v>61.875882695023684</v>
      </c>
      <c r="Q86" s="285" t="s">
        <v>168</v>
      </c>
      <c r="R86" s="285">
        <f>2.4074*P86-121.26</f>
        <v>27.700000000000003</v>
      </c>
      <c r="S86" s="207"/>
    </row>
    <row r="87" spans="2:19" x14ac:dyDescent="0.2">
      <c r="B87" s="261"/>
      <c r="C87" s="244"/>
      <c r="D87" s="245"/>
      <c r="E87" s="242"/>
      <c r="F87" s="242"/>
      <c r="G87" s="242"/>
      <c r="H87" s="242"/>
      <c r="I87" s="242"/>
      <c r="J87" s="242"/>
      <c r="K87" s="243"/>
      <c r="L87" s="241"/>
      <c r="M87" s="283">
        <v>38946</v>
      </c>
      <c r="N87" s="284">
        <v>0.29166666666666669</v>
      </c>
      <c r="O87" s="285">
        <v>58.802027083160255</v>
      </c>
      <c r="P87" s="285" t="s">
        <v>168</v>
      </c>
      <c r="Q87" s="285">
        <f>2.4074*O87-121.26</f>
        <v>20.299999999999997</v>
      </c>
      <c r="R87" s="285" t="s">
        <v>168</v>
      </c>
      <c r="S87" s="207"/>
    </row>
    <row r="88" spans="2:19" x14ac:dyDescent="0.2">
      <c r="B88" s="261"/>
      <c r="C88" s="244"/>
      <c r="D88" s="245"/>
      <c r="E88" s="242"/>
      <c r="F88" s="242"/>
      <c r="G88" s="242"/>
      <c r="H88" s="242"/>
      <c r="I88" s="242"/>
      <c r="J88" s="242"/>
      <c r="K88" s="243"/>
      <c r="L88" s="241"/>
      <c r="M88" s="283">
        <v>38946</v>
      </c>
      <c r="N88" s="284">
        <v>0.625</v>
      </c>
      <c r="O88" s="285" t="s">
        <v>168</v>
      </c>
      <c r="P88" s="285">
        <v>61.958959873722691</v>
      </c>
      <c r="Q88" s="285" t="s">
        <v>168</v>
      </c>
      <c r="R88" s="285">
        <f>2.4074*P88-121.26</f>
        <v>27.899999999999991</v>
      </c>
      <c r="S88" s="207"/>
    </row>
    <row r="89" spans="2:19" x14ac:dyDescent="0.2">
      <c r="B89" s="261"/>
      <c r="C89" s="244"/>
      <c r="D89" s="245"/>
      <c r="E89" s="242"/>
      <c r="F89" s="242"/>
      <c r="G89" s="242"/>
      <c r="H89" s="242"/>
      <c r="I89" s="242"/>
      <c r="J89" s="242"/>
      <c r="K89" s="243"/>
      <c r="L89" s="241"/>
      <c r="M89" s="283">
        <v>38947</v>
      </c>
      <c r="N89" s="284">
        <v>0.29166666666666669</v>
      </c>
      <c r="O89" s="285">
        <v>59.383567334053339</v>
      </c>
      <c r="P89" s="285" t="s">
        <v>168</v>
      </c>
      <c r="Q89" s="285">
        <f>2.4074*O89-121.26</f>
        <v>21.700000000000003</v>
      </c>
      <c r="R89" s="285" t="s">
        <v>168</v>
      </c>
      <c r="S89" s="207"/>
    </row>
    <row r="90" spans="2:19" x14ac:dyDescent="0.2">
      <c r="B90" s="261"/>
      <c r="C90" s="244"/>
      <c r="D90" s="245"/>
      <c r="E90" s="242"/>
      <c r="F90" s="242"/>
      <c r="G90" s="242"/>
      <c r="H90" s="242"/>
      <c r="I90" s="242"/>
      <c r="J90" s="242"/>
      <c r="K90" s="243"/>
      <c r="L90" s="241"/>
      <c r="M90" s="283">
        <v>38947</v>
      </c>
      <c r="N90" s="284">
        <v>0.45833333333333331</v>
      </c>
      <c r="O90" s="285" t="s">
        <v>168</v>
      </c>
      <c r="P90" s="285">
        <v>61.834344105674177</v>
      </c>
      <c r="Q90" s="285" t="s">
        <v>168</v>
      </c>
      <c r="R90" s="285">
        <f>2.4074*P90-121.26</f>
        <v>27.600000000000009</v>
      </c>
      <c r="S90" s="207"/>
    </row>
    <row r="91" spans="2:19" x14ac:dyDescent="0.2">
      <c r="B91" s="261"/>
      <c r="C91" s="244"/>
      <c r="D91" s="245"/>
      <c r="E91" s="242"/>
      <c r="F91" s="242"/>
      <c r="G91" s="242"/>
      <c r="H91" s="242"/>
      <c r="I91" s="242"/>
      <c r="J91" s="242"/>
      <c r="K91" s="243"/>
      <c r="L91" s="241"/>
      <c r="M91" s="283">
        <v>38948</v>
      </c>
      <c r="N91" s="284">
        <v>1.1041666666666667</v>
      </c>
      <c r="O91" s="285">
        <v>58.677411315111733</v>
      </c>
      <c r="P91" s="285" t="s">
        <v>168</v>
      </c>
      <c r="Q91" s="285">
        <f>2.4074*O91-121.26</f>
        <v>19.999999999999986</v>
      </c>
      <c r="R91" s="285" t="s">
        <v>168</v>
      </c>
      <c r="S91" s="207"/>
    </row>
    <row r="92" spans="2:19" x14ac:dyDescent="0.2">
      <c r="B92" s="261"/>
      <c r="C92" s="244"/>
      <c r="D92" s="245"/>
      <c r="E92" s="242"/>
      <c r="F92" s="242"/>
      <c r="G92" s="242"/>
      <c r="H92" s="242"/>
      <c r="I92" s="242"/>
      <c r="J92" s="242"/>
      <c r="K92" s="243"/>
      <c r="L92" s="241"/>
      <c r="M92" s="283">
        <v>38948</v>
      </c>
      <c r="N92" s="284">
        <v>0.625</v>
      </c>
      <c r="O92" s="285" t="s">
        <v>168</v>
      </c>
      <c r="P92" s="285">
        <v>61.792805516324663</v>
      </c>
      <c r="Q92" s="285" t="s">
        <v>168</v>
      </c>
      <c r="R92" s="285">
        <f>2.4074*P92-121.26</f>
        <v>27.499999999999986</v>
      </c>
      <c r="S92" s="207"/>
    </row>
    <row r="93" spans="2:19" x14ac:dyDescent="0.2">
      <c r="B93" s="261"/>
      <c r="C93" s="244"/>
      <c r="D93" s="245"/>
      <c r="E93" s="242"/>
      <c r="F93" s="242"/>
      <c r="G93" s="242"/>
      <c r="H93" s="242"/>
      <c r="I93" s="242"/>
      <c r="J93" s="242"/>
      <c r="K93" s="243"/>
      <c r="L93" s="241"/>
      <c r="M93" s="283">
        <v>38949</v>
      </c>
      <c r="N93" s="284">
        <v>0.25</v>
      </c>
      <c r="O93" s="285">
        <v>58.968181440558283</v>
      </c>
      <c r="P93" s="285" t="s">
        <v>168</v>
      </c>
      <c r="Q93" s="285">
        <f>2.4074*O93-121.26</f>
        <v>20.700000000000003</v>
      </c>
      <c r="R93" s="285" t="s">
        <v>168</v>
      </c>
      <c r="S93" s="207"/>
    </row>
    <row r="94" spans="2:19" x14ac:dyDescent="0.2">
      <c r="B94" s="261"/>
      <c r="C94" s="244"/>
      <c r="D94" s="245"/>
      <c r="E94" s="242"/>
      <c r="F94" s="242"/>
      <c r="G94" s="242"/>
      <c r="H94" s="242"/>
      <c r="I94" s="242"/>
      <c r="J94" s="242"/>
      <c r="K94" s="243"/>
      <c r="L94" s="241"/>
      <c r="M94" s="283">
        <v>38949</v>
      </c>
      <c r="N94" s="284">
        <v>0.41666666666666669</v>
      </c>
      <c r="O94" s="285" t="s">
        <v>168</v>
      </c>
      <c r="P94" s="285">
        <v>61.543573980227627</v>
      </c>
      <c r="Q94" s="285" t="s">
        <v>168</v>
      </c>
      <c r="R94" s="285">
        <f>2.4074*P94-121.26</f>
        <v>26.899999999999991</v>
      </c>
      <c r="S94" s="207"/>
    </row>
    <row r="95" spans="2:19" x14ac:dyDescent="0.2">
      <c r="B95" s="261"/>
      <c r="C95" s="244"/>
      <c r="D95" s="245"/>
      <c r="E95" s="242"/>
      <c r="F95" s="242"/>
      <c r="G95" s="242"/>
      <c r="H95" s="242"/>
      <c r="I95" s="242"/>
      <c r="J95" s="242"/>
      <c r="K95" s="243"/>
      <c r="L95" s="241"/>
      <c r="M95" s="283">
        <v>38949</v>
      </c>
      <c r="N95" s="284">
        <v>0.75</v>
      </c>
      <c r="O95" s="285">
        <v>58.885104261859261</v>
      </c>
      <c r="P95" s="285" t="s">
        <v>168</v>
      </c>
      <c r="Q95" s="285">
        <f>2.4074*O95-121.26</f>
        <v>20.499999999999986</v>
      </c>
      <c r="R95" s="285" t="s">
        <v>168</v>
      </c>
      <c r="S95" s="207"/>
    </row>
    <row r="96" spans="2:19" x14ac:dyDescent="0.2">
      <c r="B96" s="261"/>
      <c r="C96" s="244"/>
      <c r="D96" s="245"/>
      <c r="E96" s="242"/>
      <c r="F96" s="242"/>
      <c r="G96" s="242"/>
      <c r="H96" s="242"/>
      <c r="I96" s="242"/>
      <c r="J96" s="242"/>
      <c r="K96" s="243"/>
      <c r="L96" s="241"/>
      <c r="M96" s="283">
        <v>38949</v>
      </c>
      <c r="N96" s="284">
        <v>0.875</v>
      </c>
      <c r="O96" s="285" t="s">
        <v>168</v>
      </c>
      <c r="P96" s="285">
        <v>60.920495139985043</v>
      </c>
      <c r="Q96" s="285" t="s">
        <v>168</v>
      </c>
      <c r="R96" s="285">
        <f>2.4074*P96-121.26</f>
        <v>25.399999999999991</v>
      </c>
      <c r="S96" s="207"/>
    </row>
    <row r="97" spans="1:102" x14ac:dyDescent="0.2">
      <c r="B97" s="261"/>
      <c r="C97" s="246"/>
      <c r="D97" s="465" t="s">
        <v>202</v>
      </c>
      <c r="E97" s="465"/>
      <c r="F97" s="465"/>
      <c r="G97" s="465"/>
      <c r="H97" s="465"/>
      <c r="I97" s="465"/>
      <c r="J97" s="465"/>
      <c r="K97" s="248"/>
      <c r="L97" s="241"/>
      <c r="M97" s="319"/>
      <c r="N97" s="320"/>
      <c r="O97" s="321"/>
      <c r="P97" s="321"/>
      <c r="Q97" s="321"/>
      <c r="R97" s="321"/>
      <c r="S97" s="207"/>
    </row>
    <row r="98" spans="1:102" ht="13.5" thickBot="1" x14ac:dyDescent="0.25">
      <c r="B98" s="230"/>
      <c r="C98" s="231"/>
      <c r="D98" s="231"/>
      <c r="E98" s="231"/>
      <c r="F98" s="231"/>
      <c r="G98" s="231"/>
      <c r="H98" s="231"/>
      <c r="I98" s="231"/>
      <c r="J98" s="231"/>
      <c r="K98" s="231"/>
      <c r="L98" s="231"/>
      <c r="M98" s="231"/>
      <c r="N98" s="231"/>
      <c r="O98" s="231"/>
      <c r="P98" s="231"/>
      <c r="Q98" s="231"/>
      <c r="R98" s="231"/>
      <c r="S98" s="238"/>
    </row>
    <row r="99" spans="1:102" s="204" customFormat="1" ht="15.75" thickBot="1" x14ac:dyDescent="0.25">
      <c r="A99" s="207"/>
      <c r="B99" s="198" t="s">
        <v>172</v>
      </c>
      <c r="C99" s="199"/>
      <c r="D99" s="199"/>
      <c r="E99" s="199"/>
      <c r="F99" s="199"/>
      <c r="G99" s="199"/>
      <c r="H99" s="199"/>
      <c r="I99" s="199"/>
      <c r="J99" s="199"/>
      <c r="K99" s="200"/>
      <c r="L99" s="201"/>
      <c r="M99" s="201"/>
      <c r="N99" s="201"/>
      <c r="O99" s="201"/>
      <c r="P99" s="201"/>
      <c r="Q99" s="201"/>
      <c r="R99" s="201"/>
      <c r="S99" s="202"/>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c r="BX99" s="193"/>
      <c r="BY99" s="193"/>
      <c r="BZ99" s="193"/>
      <c r="CA99" s="193"/>
      <c r="CB99" s="193"/>
      <c r="CC99" s="193"/>
      <c r="CD99" s="193"/>
      <c r="CE99" s="193"/>
      <c r="CF99" s="193"/>
      <c r="CG99" s="193"/>
      <c r="CH99" s="193"/>
      <c r="CI99" s="193"/>
      <c r="CJ99" s="193"/>
      <c r="CK99" s="193"/>
      <c r="CL99" s="193"/>
      <c r="CM99" s="193"/>
      <c r="CN99" s="193"/>
      <c r="CO99" s="193"/>
      <c r="CP99" s="193"/>
      <c r="CQ99" s="193"/>
      <c r="CR99" s="193"/>
      <c r="CS99" s="193"/>
      <c r="CT99" s="193"/>
      <c r="CU99" s="193"/>
      <c r="CV99" s="193"/>
      <c r="CW99" s="193"/>
      <c r="CX99" s="193"/>
    </row>
    <row r="100" spans="1:102" ht="40.5" customHeight="1" x14ac:dyDescent="0.2">
      <c r="B100" s="455" t="s">
        <v>208</v>
      </c>
      <c r="C100" s="456"/>
      <c r="D100" s="456"/>
      <c r="E100" s="456"/>
      <c r="F100" s="456"/>
      <c r="G100" s="456"/>
      <c r="H100" s="456"/>
      <c r="I100" s="456"/>
      <c r="J100" s="456"/>
      <c r="K100" s="456"/>
      <c r="L100" s="456"/>
      <c r="M100" s="456"/>
      <c r="N100" s="456"/>
      <c r="O100" s="456"/>
      <c r="P100" s="456"/>
      <c r="Q100" s="456"/>
      <c r="R100" s="456"/>
      <c r="S100" s="457"/>
    </row>
    <row r="101" spans="1:102" x14ac:dyDescent="0.2">
      <c r="B101" s="261"/>
      <c r="C101" s="193"/>
      <c r="D101" s="193"/>
      <c r="E101" s="193"/>
      <c r="F101" s="193"/>
      <c r="G101" s="193"/>
      <c r="H101" s="193"/>
      <c r="I101" s="193"/>
      <c r="J101" s="193"/>
      <c r="K101" s="193"/>
      <c r="L101" s="193"/>
      <c r="M101" s="193"/>
      <c r="N101" s="193"/>
      <c r="O101" s="193"/>
      <c r="P101" s="193"/>
      <c r="Q101" s="193"/>
      <c r="R101" s="193"/>
      <c r="S101" s="207"/>
    </row>
    <row r="102" spans="1:102" ht="12.75" customHeight="1" x14ac:dyDescent="0.2">
      <c r="B102" s="261"/>
      <c r="C102" s="461" t="s">
        <v>209</v>
      </c>
      <c r="D102" s="461"/>
      <c r="E102" s="461"/>
      <c r="F102" s="461"/>
      <c r="G102" s="461"/>
      <c r="H102" s="461"/>
      <c r="I102" s="461"/>
      <c r="J102" s="461"/>
      <c r="K102" s="193"/>
      <c r="L102" s="459" t="s">
        <v>210</v>
      </c>
      <c r="M102" s="459"/>
      <c r="N102" s="459"/>
      <c r="O102" s="459"/>
      <c r="P102" s="459"/>
      <c r="Q102" s="459"/>
      <c r="R102" s="459"/>
      <c r="S102" s="207"/>
    </row>
    <row r="103" spans="1:102" x14ac:dyDescent="0.2">
      <c r="B103" s="261"/>
      <c r="C103" s="461"/>
      <c r="D103" s="461"/>
      <c r="E103" s="461"/>
      <c r="F103" s="461"/>
      <c r="G103" s="461"/>
      <c r="H103" s="461"/>
      <c r="I103" s="461"/>
      <c r="J103" s="461"/>
      <c r="K103" s="193"/>
      <c r="L103" s="459"/>
      <c r="M103" s="459"/>
      <c r="N103" s="459"/>
      <c r="O103" s="459"/>
      <c r="P103" s="459"/>
      <c r="Q103" s="459"/>
      <c r="R103" s="459"/>
      <c r="S103" s="207"/>
    </row>
    <row r="104" spans="1:102" x14ac:dyDescent="0.2">
      <c r="B104" s="261"/>
      <c r="C104" s="461"/>
      <c r="D104" s="461"/>
      <c r="E104" s="461"/>
      <c r="F104" s="461"/>
      <c r="G104" s="461"/>
      <c r="H104" s="461"/>
      <c r="I104" s="461"/>
      <c r="J104" s="461"/>
      <c r="K104" s="193"/>
      <c r="L104" s="459"/>
      <c r="M104" s="459"/>
      <c r="N104" s="459"/>
      <c r="O104" s="459"/>
      <c r="P104" s="459"/>
      <c r="Q104" s="459"/>
      <c r="R104" s="459"/>
      <c r="S104" s="207"/>
    </row>
    <row r="105" spans="1:102" x14ac:dyDescent="0.2">
      <c r="B105" s="261"/>
      <c r="C105" s="193"/>
      <c r="D105" s="193"/>
      <c r="E105" s="193"/>
      <c r="F105" s="193"/>
      <c r="G105" s="193"/>
      <c r="H105" s="193"/>
      <c r="I105" s="193"/>
      <c r="J105" s="193"/>
      <c r="K105" s="193"/>
      <c r="L105" s="193"/>
      <c r="M105" s="193"/>
      <c r="N105" s="193"/>
      <c r="O105" s="193"/>
      <c r="P105" s="193"/>
      <c r="Q105" s="193"/>
      <c r="R105" s="193"/>
      <c r="S105" s="207"/>
    </row>
    <row r="106" spans="1:102" x14ac:dyDescent="0.2">
      <c r="B106" s="261"/>
      <c r="C106" s="193"/>
      <c r="D106" s="193"/>
      <c r="E106" s="193"/>
      <c r="F106" s="193"/>
      <c r="G106" s="193"/>
      <c r="H106" s="193"/>
      <c r="I106" s="193"/>
      <c r="J106" s="193"/>
      <c r="K106" s="193"/>
      <c r="L106" s="193"/>
      <c r="M106" s="193"/>
      <c r="N106" s="193"/>
      <c r="O106" s="193"/>
      <c r="P106" s="193"/>
      <c r="Q106" s="193"/>
      <c r="R106" s="193"/>
      <c r="S106" s="207"/>
    </row>
    <row r="107" spans="1:102" x14ac:dyDescent="0.2">
      <c r="B107" s="261"/>
      <c r="C107" s="193"/>
      <c r="D107" s="193"/>
      <c r="E107" s="193"/>
      <c r="F107" s="193"/>
      <c r="G107" s="193"/>
      <c r="H107" s="193"/>
      <c r="I107" s="193"/>
      <c r="J107" s="193"/>
      <c r="K107" s="193"/>
      <c r="L107" s="193"/>
      <c r="M107" s="193"/>
      <c r="N107" s="193"/>
      <c r="O107" s="193"/>
      <c r="P107" s="193"/>
      <c r="Q107" s="193"/>
      <c r="R107" s="193"/>
      <c r="S107" s="207"/>
    </row>
    <row r="108" spans="1:102" x14ac:dyDescent="0.2">
      <c r="B108" s="261"/>
      <c r="C108" s="193"/>
      <c r="D108" s="193"/>
      <c r="E108" s="193"/>
      <c r="F108" s="193"/>
      <c r="G108" s="193"/>
      <c r="H108" s="193"/>
      <c r="I108" s="193"/>
      <c r="J108" s="193"/>
      <c r="K108" s="193"/>
      <c r="L108" s="193"/>
      <c r="M108" s="193"/>
      <c r="N108" s="193"/>
      <c r="O108" s="193"/>
      <c r="P108" s="193"/>
      <c r="Q108" s="193"/>
      <c r="R108" s="193"/>
      <c r="S108" s="207"/>
    </row>
    <row r="109" spans="1:102" x14ac:dyDescent="0.2">
      <c r="B109" s="261"/>
      <c r="C109" s="193"/>
      <c r="D109" s="193"/>
      <c r="E109" s="193"/>
      <c r="F109" s="193"/>
      <c r="G109" s="193"/>
      <c r="H109" s="193"/>
      <c r="I109" s="193"/>
      <c r="J109" s="193"/>
      <c r="K109" s="193"/>
      <c r="L109" s="193"/>
      <c r="M109" s="193"/>
      <c r="N109" s="193"/>
      <c r="O109" s="193"/>
      <c r="P109" s="193"/>
      <c r="Q109" s="193"/>
      <c r="R109" s="193"/>
      <c r="S109" s="207"/>
    </row>
    <row r="110" spans="1:102" x14ac:dyDescent="0.2">
      <c r="B110" s="261"/>
      <c r="C110" s="193"/>
      <c r="D110" s="193"/>
      <c r="E110" s="193"/>
      <c r="F110" s="193"/>
      <c r="G110" s="193"/>
      <c r="H110" s="193"/>
      <c r="I110" s="193"/>
      <c r="J110" s="193"/>
      <c r="K110" s="193"/>
      <c r="L110" s="193"/>
      <c r="M110" s="193"/>
      <c r="N110" s="193"/>
      <c r="O110" s="193"/>
      <c r="P110" s="193"/>
      <c r="Q110" s="193"/>
      <c r="R110" s="193"/>
      <c r="S110" s="207"/>
    </row>
    <row r="111" spans="1:102" x14ac:dyDescent="0.2">
      <c r="B111" s="261"/>
      <c r="C111" s="193"/>
      <c r="D111" s="193"/>
      <c r="E111" s="193"/>
      <c r="F111" s="193"/>
      <c r="G111" s="193"/>
      <c r="H111" s="193"/>
      <c r="I111" s="193"/>
      <c r="J111" s="193"/>
      <c r="K111" s="193"/>
      <c r="L111" s="193"/>
      <c r="M111" s="193"/>
      <c r="N111" s="193"/>
      <c r="O111" s="193"/>
      <c r="P111" s="193"/>
      <c r="Q111" s="193"/>
      <c r="R111" s="193"/>
      <c r="S111" s="207"/>
    </row>
    <row r="112" spans="1:102" x14ac:dyDescent="0.2">
      <c r="B112" s="261"/>
      <c r="C112" s="193"/>
      <c r="D112" s="193"/>
      <c r="E112" s="193"/>
      <c r="F112" s="193"/>
      <c r="G112" s="193"/>
      <c r="H112" s="193"/>
      <c r="I112" s="193"/>
      <c r="J112" s="193"/>
      <c r="K112" s="193"/>
      <c r="L112" s="193"/>
      <c r="M112" s="193"/>
      <c r="N112" s="193"/>
      <c r="O112" s="193"/>
      <c r="P112" s="193"/>
      <c r="Q112" s="193"/>
      <c r="R112" s="193"/>
      <c r="S112" s="207"/>
    </row>
    <row r="113" spans="2:19" x14ac:dyDescent="0.2">
      <c r="B113" s="261"/>
      <c r="C113" s="193"/>
      <c r="D113" s="193"/>
      <c r="E113" s="193"/>
      <c r="F113" s="193"/>
      <c r="G113" s="193"/>
      <c r="H113" s="193"/>
      <c r="I113" s="193"/>
      <c r="J113" s="193"/>
      <c r="K113" s="193"/>
      <c r="L113" s="193"/>
      <c r="M113" s="193"/>
      <c r="N113" s="193"/>
      <c r="O113" s="193"/>
      <c r="P113" s="193"/>
      <c r="Q113" s="193"/>
      <c r="R113" s="193"/>
      <c r="S113" s="207"/>
    </row>
    <row r="114" spans="2:19" x14ac:dyDescent="0.2">
      <c r="B114" s="261"/>
      <c r="C114" s="193"/>
      <c r="D114" s="193"/>
      <c r="E114" s="193"/>
      <c r="F114" s="193"/>
      <c r="G114" s="193"/>
      <c r="H114" s="193"/>
      <c r="I114" s="193"/>
      <c r="J114" s="193"/>
      <c r="K114" s="193"/>
      <c r="L114" s="193"/>
      <c r="M114" s="193"/>
      <c r="N114" s="193"/>
      <c r="O114" s="193"/>
      <c r="P114" s="193"/>
      <c r="Q114" s="193"/>
      <c r="R114" s="193"/>
      <c r="S114" s="207"/>
    </row>
    <row r="115" spans="2:19" x14ac:dyDescent="0.2">
      <c r="B115" s="261"/>
      <c r="C115" s="193"/>
      <c r="D115" s="193"/>
      <c r="E115" s="193"/>
      <c r="F115" s="193"/>
      <c r="G115" s="193"/>
      <c r="H115" s="193"/>
      <c r="I115" s="193"/>
      <c r="J115" s="193"/>
      <c r="K115" s="193"/>
      <c r="L115" s="193"/>
      <c r="M115" s="193"/>
      <c r="N115" s="193"/>
      <c r="O115" s="193"/>
      <c r="P115" s="193"/>
      <c r="Q115" s="193"/>
      <c r="R115" s="193"/>
      <c r="S115" s="207"/>
    </row>
    <row r="116" spans="2:19" x14ac:dyDescent="0.2">
      <c r="B116" s="261"/>
      <c r="C116" s="193"/>
      <c r="D116" s="193"/>
      <c r="E116" s="193"/>
      <c r="F116" s="193"/>
      <c r="G116" s="193"/>
      <c r="H116" s="193"/>
      <c r="I116" s="193"/>
      <c r="J116" s="193"/>
      <c r="K116" s="193"/>
      <c r="L116" s="193"/>
      <c r="M116" s="193"/>
      <c r="N116" s="193"/>
      <c r="O116" s="193"/>
      <c r="P116" s="193"/>
      <c r="Q116" s="193"/>
      <c r="R116" s="193"/>
      <c r="S116" s="207"/>
    </row>
    <row r="117" spans="2:19" x14ac:dyDescent="0.2">
      <c r="B117" s="261"/>
      <c r="C117" s="193"/>
      <c r="D117" s="193"/>
      <c r="E117" s="193"/>
      <c r="F117" s="193"/>
      <c r="G117" s="193"/>
      <c r="H117" s="193"/>
      <c r="I117" s="193"/>
      <c r="J117" s="193"/>
      <c r="K117" s="193"/>
      <c r="L117" s="193"/>
      <c r="M117" s="193"/>
      <c r="N117" s="193"/>
      <c r="O117" s="193"/>
      <c r="P117" s="193"/>
      <c r="Q117" s="193"/>
      <c r="R117" s="193"/>
      <c r="S117" s="207"/>
    </row>
    <row r="118" spans="2:19" x14ac:dyDescent="0.2">
      <c r="B118" s="261"/>
      <c r="C118" s="193"/>
      <c r="D118" s="193"/>
      <c r="E118" s="193"/>
      <c r="F118" s="193"/>
      <c r="G118" s="193"/>
      <c r="H118" s="193"/>
      <c r="I118" s="193"/>
      <c r="J118" s="193"/>
      <c r="K118" s="193"/>
      <c r="L118" s="193"/>
      <c r="M118" s="193"/>
      <c r="N118" s="193"/>
      <c r="O118" s="193"/>
      <c r="P118" s="193"/>
      <c r="Q118" s="193"/>
      <c r="R118" s="193"/>
      <c r="S118" s="207"/>
    </row>
    <row r="119" spans="2:19" x14ac:dyDescent="0.2">
      <c r="B119" s="261"/>
      <c r="C119" s="193"/>
      <c r="D119" s="193"/>
      <c r="E119" s="193"/>
      <c r="F119" s="193"/>
      <c r="G119" s="193"/>
      <c r="H119" s="193"/>
      <c r="I119" s="193"/>
      <c r="J119" s="193"/>
      <c r="K119" s="193"/>
      <c r="L119" s="193"/>
      <c r="M119" s="193"/>
      <c r="N119" s="193"/>
      <c r="O119" s="193"/>
      <c r="P119" s="193"/>
      <c r="Q119" s="193"/>
      <c r="R119" s="193"/>
      <c r="S119" s="207"/>
    </row>
    <row r="120" spans="2:19" x14ac:dyDescent="0.2">
      <c r="B120" s="261"/>
      <c r="C120" s="193"/>
      <c r="D120" s="193"/>
      <c r="E120" s="193"/>
      <c r="F120" s="193"/>
      <c r="G120" s="193"/>
      <c r="H120" s="193"/>
      <c r="I120" s="193"/>
      <c r="J120" s="193"/>
      <c r="K120" s="193"/>
      <c r="L120" s="193"/>
      <c r="M120" s="193"/>
      <c r="N120" s="193"/>
      <c r="O120" s="193"/>
      <c r="P120" s="193"/>
      <c r="Q120" s="193"/>
      <c r="R120" s="193"/>
      <c r="S120" s="207"/>
    </row>
    <row r="121" spans="2:19" x14ac:dyDescent="0.2">
      <c r="B121" s="261"/>
      <c r="C121" s="193"/>
      <c r="D121" s="193"/>
      <c r="E121" s="193"/>
      <c r="F121" s="193"/>
      <c r="G121" s="193"/>
      <c r="H121" s="193"/>
      <c r="I121" s="193"/>
      <c r="J121" s="193"/>
      <c r="K121" s="193"/>
      <c r="L121" s="193"/>
      <c r="M121" s="193"/>
      <c r="N121" s="193"/>
      <c r="O121" s="193"/>
      <c r="P121" s="193"/>
      <c r="Q121" s="193"/>
      <c r="R121" s="193"/>
      <c r="S121" s="207"/>
    </row>
    <row r="122" spans="2:19" x14ac:dyDescent="0.2">
      <c r="B122" s="261"/>
      <c r="C122" s="193"/>
      <c r="D122" s="193"/>
      <c r="E122" s="193"/>
      <c r="F122" s="193"/>
      <c r="G122" s="193"/>
      <c r="H122" s="193"/>
      <c r="I122" s="193"/>
      <c r="J122" s="193"/>
      <c r="K122" s="193"/>
      <c r="L122" s="193"/>
      <c r="M122" s="193"/>
      <c r="N122" s="193"/>
      <c r="O122" s="193"/>
      <c r="P122" s="193"/>
      <c r="Q122" s="193"/>
      <c r="R122" s="193"/>
      <c r="S122" s="207"/>
    </row>
    <row r="123" spans="2:19" x14ac:dyDescent="0.2">
      <c r="B123" s="261"/>
      <c r="C123" s="193"/>
      <c r="D123" s="193"/>
      <c r="E123" s="193"/>
      <c r="F123" s="193"/>
      <c r="G123" s="193"/>
      <c r="H123" s="193"/>
      <c r="I123" s="193"/>
      <c r="J123" s="193"/>
      <c r="K123" s="193"/>
      <c r="L123" s="193"/>
      <c r="M123" s="193"/>
      <c r="N123" s="193"/>
      <c r="O123" s="193"/>
      <c r="P123" s="193"/>
      <c r="Q123" s="193"/>
      <c r="R123" s="193"/>
      <c r="S123" s="207"/>
    </row>
    <row r="124" spans="2:19" x14ac:dyDescent="0.2">
      <c r="B124" s="261"/>
      <c r="C124" s="193"/>
      <c r="D124" s="193"/>
      <c r="E124" s="193"/>
      <c r="F124" s="193"/>
      <c r="G124" s="193"/>
      <c r="H124" s="193"/>
      <c r="I124" s="193"/>
      <c r="J124" s="193"/>
      <c r="K124" s="193"/>
      <c r="L124" s="193"/>
      <c r="M124" s="193"/>
      <c r="N124" s="193"/>
      <c r="O124" s="193"/>
      <c r="P124" s="193"/>
      <c r="Q124" s="193"/>
      <c r="R124" s="193"/>
      <c r="S124" s="207"/>
    </row>
    <row r="125" spans="2:19" x14ac:dyDescent="0.2">
      <c r="B125" s="261"/>
      <c r="C125" s="193"/>
      <c r="D125" s="193"/>
      <c r="E125" s="193"/>
      <c r="F125" s="193"/>
      <c r="G125" s="193"/>
      <c r="H125" s="193"/>
      <c r="I125" s="193"/>
      <c r="J125" s="193"/>
      <c r="K125" s="193"/>
      <c r="L125" s="193"/>
      <c r="M125" s="193"/>
      <c r="N125" s="193"/>
      <c r="O125" s="193"/>
      <c r="P125" s="193"/>
      <c r="Q125" s="193"/>
      <c r="R125" s="193"/>
      <c r="S125" s="207"/>
    </row>
    <row r="126" spans="2:19" ht="12.75" customHeight="1" x14ac:dyDescent="0.2">
      <c r="B126" s="261"/>
      <c r="C126" s="459" t="s">
        <v>211</v>
      </c>
      <c r="D126" s="459"/>
      <c r="E126" s="459"/>
      <c r="F126" s="459"/>
      <c r="G126" s="459"/>
      <c r="H126" s="459"/>
      <c r="I126" s="459"/>
      <c r="J126" s="459"/>
      <c r="K126" s="193"/>
      <c r="L126" s="459"/>
      <c r="M126" s="460"/>
      <c r="N126" s="460"/>
      <c r="O126" s="460"/>
      <c r="P126" s="460"/>
      <c r="Q126" s="460"/>
      <c r="R126" s="460"/>
      <c r="S126" s="207"/>
    </row>
    <row r="127" spans="2:19" x14ac:dyDescent="0.2">
      <c r="B127" s="261"/>
      <c r="C127" s="459"/>
      <c r="D127" s="459"/>
      <c r="E127" s="459"/>
      <c r="F127" s="459"/>
      <c r="G127" s="459"/>
      <c r="H127" s="459"/>
      <c r="I127" s="459"/>
      <c r="J127" s="459"/>
      <c r="K127" s="193"/>
      <c r="L127" s="460"/>
      <c r="M127" s="460"/>
      <c r="N127" s="460"/>
      <c r="O127" s="460"/>
      <c r="P127" s="460"/>
      <c r="Q127" s="460"/>
      <c r="R127" s="460"/>
      <c r="S127" s="207"/>
    </row>
    <row r="128" spans="2:19" x14ac:dyDescent="0.2">
      <c r="B128" s="261"/>
      <c r="C128" s="459"/>
      <c r="D128" s="459"/>
      <c r="E128" s="459"/>
      <c r="F128" s="459"/>
      <c r="G128" s="459"/>
      <c r="H128" s="459"/>
      <c r="I128" s="459"/>
      <c r="J128" s="459"/>
      <c r="K128" s="193"/>
      <c r="L128" s="193"/>
      <c r="M128" s="193"/>
      <c r="N128" s="193"/>
      <c r="O128" s="193"/>
      <c r="P128" s="193"/>
      <c r="Q128" s="193"/>
      <c r="R128" s="193"/>
      <c r="S128" s="207"/>
    </row>
    <row r="129" spans="2:19" x14ac:dyDescent="0.2">
      <c r="B129" s="261"/>
      <c r="C129" s="459"/>
      <c r="D129" s="459"/>
      <c r="E129" s="459"/>
      <c r="F129" s="459"/>
      <c r="G129" s="459"/>
      <c r="H129" s="459"/>
      <c r="I129" s="459"/>
      <c r="J129" s="459"/>
      <c r="K129" s="193"/>
      <c r="L129" s="193"/>
      <c r="M129" s="193"/>
      <c r="N129" s="193"/>
      <c r="O129" s="193"/>
      <c r="P129" s="193"/>
      <c r="Q129" s="193"/>
      <c r="R129" s="193"/>
      <c r="S129" s="207"/>
    </row>
    <row r="130" spans="2:19" x14ac:dyDescent="0.2">
      <c r="B130" s="261"/>
      <c r="C130" s="193"/>
      <c r="D130" s="193"/>
      <c r="E130" s="193"/>
      <c r="F130" s="193"/>
      <c r="G130" s="193"/>
      <c r="H130" s="193"/>
      <c r="I130" s="193"/>
      <c r="J130" s="193"/>
      <c r="K130" s="193"/>
      <c r="L130" s="193"/>
      <c r="M130" s="193"/>
      <c r="N130" s="193"/>
      <c r="O130" s="193"/>
      <c r="P130" s="193"/>
      <c r="Q130" s="193"/>
      <c r="R130" s="193"/>
      <c r="S130" s="207"/>
    </row>
    <row r="131" spans="2:19" x14ac:dyDescent="0.2">
      <c r="B131" s="261"/>
      <c r="C131" s="193"/>
      <c r="D131" s="193"/>
      <c r="E131" s="193"/>
      <c r="F131" s="193"/>
      <c r="G131" s="193"/>
      <c r="H131" s="193"/>
      <c r="I131" s="193"/>
      <c r="J131" s="193"/>
      <c r="K131" s="193"/>
      <c r="L131" s="193"/>
      <c r="M131" s="193"/>
      <c r="N131" s="193"/>
      <c r="O131" s="193"/>
      <c r="P131" s="193"/>
      <c r="Q131" s="193"/>
      <c r="R131" s="193"/>
      <c r="S131" s="207"/>
    </row>
    <row r="132" spans="2:19" x14ac:dyDescent="0.2">
      <c r="B132" s="261"/>
      <c r="C132" s="193"/>
      <c r="D132" s="193"/>
      <c r="E132" s="193"/>
      <c r="F132" s="193"/>
      <c r="G132" s="193"/>
      <c r="H132" s="193"/>
      <c r="I132" s="193"/>
      <c r="J132" s="193"/>
      <c r="K132" s="193"/>
      <c r="L132" s="193"/>
      <c r="M132" s="193"/>
      <c r="N132" s="193"/>
      <c r="O132" s="193"/>
      <c r="P132" s="193"/>
      <c r="Q132" s="193"/>
      <c r="R132" s="193"/>
      <c r="S132" s="207"/>
    </row>
    <row r="133" spans="2:19" x14ac:dyDescent="0.2">
      <c r="B133" s="261"/>
      <c r="C133" s="193"/>
      <c r="D133" s="193"/>
      <c r="E133" s="193"/>
      <c r="F133" s="193"/>
      <c r="G133" s="193"/>
      <c r="H133" s="193"/>
      <c r="I133" s="193"/>
      <c r="J133" s="193"/>
      <c r="K133" s="193"/>
      <c r="L133" s="193"/>
      <c r="M133" s="193"/>
      <c r="N133" s="193"/>
      <c r="O133" s="193"/>
      <c r="P133" s="193"/>
      <c r="Q133" s="193"/>
      <c r="R133" s="193"/>
      <c r="S133" s="207"/>
    </row>
    <row r="134" spans="2:19" x14ac:dyDescent="0.2">
      <c r="B134" s="261"/>
      <c r="C134" s="193"/>
      <c r="D134" s="193"/>
      <c r="E134" s="193"/>
      <c r="F134" s="193"/>
      <c r="G134" s="193"/>
      <c r="H134" s="193"/>
      <c r="I134" s="193"/>
      <c r="J134" s="193"/>
      <c r="K134" s="193"/>
      <c r="L134" s="193"/>
      <c r="M134" s="193"/>
      <c r="N134" s="193"/>
      <c r="O134" s="193"/>
      <c r="P134" s="193"/>
      <c r="Q134" s="193"/>
      <c r="R134" s="193"/>
      <c r="S134" s="207"/>
    </row>
    <row r="135" spans="2:19" x14ac:dyDescent="0.2">
      <c r="B135" s="261"/>
      <c r="C135" s="193"/>
      <c r="D135" s="193"/>
      <c r="E135" s="193"/>
      <c r="F135" s="193"/>
      <c r="G135" s="193"/>
      <c r="H135" s="193"/>
      <c r="I135" s="193"/>
      <c r="J135" s="193"/>
      <c r="K135" s="193"/>
      <c r="L135" s="193"/>
      <c r="M135" s="193"/>
      <c r="N135" s="193"/>
      <c r="O135" s="193"/>
      <c r="P135" s="193"/>
      <c r="Q135" s="193"/>
      <c r="R135" s="193"/>
      <c r="S135" s="207"/>
    </row>
    <row r="136" spans="2:19" x14ac:dyDescent="0.2">
      <c r="B136" s="261"/>
      <c r="C136" s="193"/>
      <c r="D136" s="193"/>
      <c r="E136" s="193"/>
      <c r="F136" s="193"/>
      <c r="G136" s="193"/>
      <c r="H136" s="193"/>
      <c r="I136" s="193"/>
      <c r="J136" s="193"/>
      <c r="K136" s="193"/>
      <c r="L136" s="193"/>
      <c r="M136" s="193"/>
      <c r="N136" s="193"/>
      <c r="O136" s="193"/>
      <c r="P136" s="193"/>
      <c r="Q136" s="193"/>
      <c r="R136" s="193"/>
      <c r="S136" s="207"/>
    </row>
    <row r="137" spans="2:19" x14ac:dyDescent="0.2">
      <c r="B137" s="261"/>
      <c r="C137" s="193"/>
      <c r="D137" s="193"/>
      <c r="E137" s="193"/>
      <c r="F137" s="193"/>
      <c r="G137" s="193"/>
      <c r="H137" s="193"/>
      <c r="I137" s="193"/>
      <c r="J137" s="193"/>
      <c r="K137" s="193"/>
      <c r="L137" s="193"/>
      <c r="M137" s="193"/>
      <c r="N137" s="193"/>
      <c r="O137" s="193"/>
      <c r="P137" s="193"/>
      <c r="Q137" s="193"/>
      <c r="R137" s="193"/>
      <c r="S137" s="207"/>
    </row>
    <row r="138" spans="2:19" x14ac:dyDescent="0.2">
      <c r="B138" s="261"/>
      <c r="C138" s="193"/>
      <c r="D138" s="193"/>
      <c r="E138" s="193"/>
      <c r="F138" s="193"/>
      <c r="G138" s="193"/>
      <c r="H138" s="193"/>
      <c r="I138" s="193"/>
      <c r="J138" s="193"/>
      <c r="K138" s="193"/>
      <c r="L138" s="193"/>
      <c r="M138" s="193"/>
      <c r="N138" s="193"/>
      <c r="O138" s="193"/>
      <c r="P138" s="193"/>
      <c r="Q138" s="193"/>
      <c r="R138" s="193"/>
      <c r="S138" s="207"/>
    </row>
    <row r="139" spans="2:19" x14ac:dyDescent="0.2">
      <c r="B139" s="261"/>
      <c r="C139" s="193"/>
      <c r="D139" s="193"/>
      <c r="E139" s="193"/>
      <c r="F139" s="193"/>
      <c r="G139" s="193"/>
      <c r="H139" s="193"/>
      <c r="I139" s="193"/>
      <c r="J139" s="193"/>
      <c r="K139" s="193"/>
      <c r="L139" s="193"/>
      <c r="M139" s="193"/>
      <c r="N139" s="193"/>
      <c r="O139" s="193"/>
      <c r="P139" s="193"/>
      <c r="Q139" s="193"/>
      <c r="R139" s="193"/>
      <c r="S139" s="207"/>
    </row>
    <row r="140" spans="2:19" x14ac:dyDescent="0.2">
      <c r="B140" s="261"/>
      <c r="C140" s="193"/>
      <c r="D140" s="193"/>
      <c r="E140" s="193"/>
      <c r="F140" s="193"/>
      <c r="G140" s="193"/>
      <c r="H140" s="193"/>
      <c r="I140" s="193"/>
      <c r="J140" s="193"/>
      <c r="K140" s="193"/>
      <c r="L140" s="193"/>
      <c r="M140" s="193"/>
      <c r="N140" s="193"/>
      <c r="O140" s="193"/>
      <c r="P140" s="193"/>
      <c r="Q140" s="193"/>
      <c r="R140" s="193"/>
      <c r="S140" s="207"/>
    </row>
    <row r="141" spans="2:19" x14ac:dyDescent="0.2">
      <c r="B141" s="261"/>
      <c r="C141" s="193"/>
      <c r="D141" s="193"/>
      <c r="E141" s="193"/>
      <c r="F141" s="193"/>
      <c r="G141" s="193"/>
      <c r="H141" s="193"/>
      <c r="I141" s="193"/>
      <c r="J141" s="193"/>
      <c r="K141" s="193"/>
      <c r="L141" s="193"/>
      <c r="M141" s="193"/>
      <c r="N141" s="193"/>
      <c r="O141" s="193"/>
      <c r="P141" s="193"/>
      <c r="Q141" s="193"/>
      <c r="R141" s="193"/>
      <c r="S141" s="207"/>
    </row>
    <row r="142" spans="2:19" x14ac:dyDescent="0.2">
      <c r="B142" s="261"/>
      <c r="C142" s="193"/>
      <c r="D142" s="193"/>
      <c r="E142" s="193"/>
      <c r="F142" s="193"/>
      <c r="G142" s="193"/>
      <c r="H142" s="193"/>
      <c r="I142" s="193"/>
      <c r="J142" s="193"/>
      <c r="K142" s="193"/>
      <c r="L142" s="193"/>
      <c r="M142" s="193"/>
      <c r="N142" s="193"/>
      <c r="O142" s="193"/>
      <c r="P142" s="193"/>
      <c r="Q142" s="193"/>
      <c r="R142" s="193"/>
      <c r="S142" s="207"/>
    </row>
    <row r="143" spans="2:19" x14ac:dyDescent="0.2">
      <c r="B143" s="261"/>
      <c r="C143" s="193"/>
      <c r="D143" s="193"/>
      <c r="E143" s="193"/>
      <c r="F143" s="193"/>
      <c r="G143" s="193"/>
      <c r="H143" s="193"/>
      <c r="I143" s="193"/>
      <c r="J143" s="193"/>
      <c r="K143" s="193"/>
      <c r="L143" s="193"/>
      <c r="M143" s="193"/>
      <c r="N143" s="193"/>
      <c r="O143" s="193"/>
      <c r="P143" s="193"/>
      <c r="Q143" s="193"/>
      <c r="R143" s="193"/>
      <c r="S143" s="207"/>
    </row>
    <row r="144" spans="2:19" x14ac:dyDescent="0.2">
      <c r="B144" s="261"/>
      <c r="C144" s="193"/>
      <c r="D144" s="193"/>
      <c r="E144" s="193"/>
      <c r="F144" s="193"/>
      <c r="G144" s="193"/>
      <c r="H144" s="193"/>
      <c r="I144" s="193"/>
      <c r="J144" s="193"/>
      <c r="K144" s="193"/>
      <c r="L144" s="193"/>
      <c r="M144" s="193"/>
      <c r="N144" s="193"/>
      <c r="O144" s="193"/>
      <c r="P144" s="193"/>
      <c r="Q144" s="193"/>
      <c r="R144" s="193"/>
      <c r="S144" s="207"/>
    </row>
    <row r="145" spans="2:19" x14ac:dyDescent="0.2">
      <c r="B145" s="261"/>
      <c r="C145" s="193"/>
      <c r="D145" s="193"/>
      <c r="E145" s="193"/>
      <c r="F145" s="193"/>
      <c r="G145" s="193"/>
      <c r="H145" s="193"/>
      <c r="I145" s="193"/>
      <c r="J145" s="193"/>
      <c r="K145" s="193"/>
      <c r="L145" s="193"/>
      <c r="M145" s="193"/>
      <c r="N145" s="193"/>
      <c r="O145" s="193"/>
      <c r="P145" s="193"/>
      <c r="Q145" s="193"/>
      <c r="R145" s="193"/>
      <c r="S145" s="207"/>
    </row>
    <row r="146" spans="2:19" x14ac:dyDescent="0.2">
      <c r="B146" s="261"/>
      <c r="C146" s="193"/>
      <c r="D146" s="193"/>
      <c r="E146" s="193"/>
      <c r="F146" s="193"/>
      <c r="G146" s="193"/>
      <c r="H146" s="193"/>
      <c r="I146" s="193"/>
      <c r="J146" s="193"/>
      <c r="K146" s="193"/>
      <c r="L146" s="193"/>
      <c r="M146" s="193"/>
      <c r="N146" s="193"/>
      <c r="O146" s="193"/>
      <c r="P146" s="193"/>
      <c r="Q146" s="193"/>
      <c r="R146" s="193"/>
      <c r="S146" s="207"/>
    </row>
    <row r="147" spans="2:19" x14ac:dyDescent="0.2">
      <c r="B147" s="261"/>
      <c r="C147" s="193"/>
      <c r="D147" s="193"/>
      <c r="E147" s="193"/>
      <c r="F147" s="193"/>
      <c r="G147" s="193"/>
      <c r="H147" s="193"/>
      <c r="I147" s="193"/>
      <c r="J147" s="193"/>
      <c r="K147" s="193"/>
      <c r="L147" s="193"/>
      <c r="M147" s="193"/>
      <c r="N147" s="193"/>
      <c r="O147" s="193"/>
      <c r="P147" s="193"/>
      <c r="Q147" s="193"/>
      <c r="R147" s="193"/>
      <c r="S147" s="207"/>
    </row>
    <row r="148" spans="2:19" x14ac:dyDescent="0.2">
      <c r="B148" s="261"/>
      <c r="C148" s="193"/>
      <c r="D148" s="193"/>
      <c r="E148" s="193"/>
      <c r="F148" s="193"/>
      <c r="G148" s="193"/>
      <c r="H148" s="193"/>
      <c r="I148" s="193"/>
      <c r="J148" s="193"/>
      <c r="K148" s="193"/>
      <c r="L148" s="193"/>
      <c r="M148" s="193"/>
      <c r="N148" s="193"/>
      <c r="O148" s="193"/>
      <c r="P148" s="193"/>
      <c r="Q148" s="193"/>
      <c r="R148" s="193"/>
      <c r="S148" s="207"/>
    </row>
    <row r="149" spans="2:19" x14ac:dyDescent="0.2">
      <c r="B149" s="261"/>
      <c r="C149" s="193"/>
      <c r="D149" s="193"/>
      <c r="E149" s="193"/>
      <c r="F149" s="193"/>
      <c r="G149" s="193"/>
      <c r="H149" s="193"/>
      <c r="I149" s="193"/>
      <c r="J149" s="193"/>
      <c r="K149" s="193"/>
      <c r="L149" s="193"/>
      <c r="M149" s="193"/>
      <c r="N149" s="193"/>
      <c r="O149" s="193"/>
      <c r="P149" s="193"/>
      <c r="Q149" s="193"/>
      <c r="R149" s="193"/>
      <c r="S149" s="207"/>
    </row>
    <row r="150" spans="2:19" x14ac:dyDescent="0.2">
      <c r="B150" s="261"/>
      <c r="C150" s="193"/>
      <c r="D150" s="193"/>
      <c r="E150" s="193"/>
      <c r="F150" s="193"/>
      <c r="G150" s="193"/>
      <c r="H150" s="193"/>
      <c r="I150" s="193"/>
      <c r="J150" s="193"/>
      <c r="K150" s="193"/>
      <c r="L150" s="193"/>
      <c r="M150" s="193"/>
      <c r="N150" s="193"/>
      <c r="O150" s="193"/>
      <c r="P150" s="193"/>
      <c r="Q150" s="193"/>
      <c r="R150" s="193"/>
      <c r="S150" s="207"/>
    </row>
    <row r="151" spans="2:19" ht="13.5" thickBot="1" x14ac:dyDescent="0.25">
      <c r="B151" s="230"/>
      <c r="C151" s="231"/>
      <c r="D151" s="231"/>
      <c r="E151" s="231"/>
      <c r="F151" s="231"/>
      <c r="G151" s="231"/>
      <c r="H151" s="231"/>
      <c r="I151" s="231"/>
      <c r="J151" s="231"/>
      <c r="K151" s="231"/>
      <c r="L151" s="231"/>
      <c r="M151" s="231"/>
      <c r="N151" s="231"/>
      <c r="O151" s="231"/>
      <c r="P151" s="231"/>
      <c r="Q151" s="231"/>
      <c r="R151" s="231"/>
      <c r="S151" s="238"/>
    </row>
  </sheetData>
  <mergeCells count="34">
    <mergeCell ref="B2:S2"/>
    <mergeCell ref="M17:R17"/>
    <mergeCell ref="C17:K17"/>
    <mergeCell ref="E43:K43"/>
    <mergeCell ref="B15:S15"/>
    <mergeCell ref="B3:S3"/>
    <mergeCell ref="B4:S4"/>
    <mergeCell ref="B5:S5"/>
    <mergeCell ref="B6:S6"/>
    <mergeCell ref="B7:S7"/>
    <mergeCell ref="B8:S8"/>
    <mergeCell ref="B9:S9"/>
    <mergeCell ref="B10:S10"/>
    <mergeCell ref="B11:S11"/>
    <mergeCell ref="B12:S12"/>
    <mergeCell ref="B13:S13"/>
    <mergeCell ref="B100:S100"/>
    <mergeCell ref="D50:H50"/>
    <mergeCell ref="L126:R127"/>
    <mergeCell ref="L102:R104"/>
    <mergeCell ref="C126:J129"/>
    <mergeCell ref="C102:J104"/>
    <mergeCell ref="B69:S69"/>
    <mergeCell ref="C71:K71"/>
    <mergeCell ref="M71:R71"/>
    <mergeCell ref="D97:J97"/>
    <mergeCell ref="C47:I47"/>
    <mergeCell ref="K47:R47"/>
    <mergeCell ref="K62:R62"/>
    <mergeCell ref="B14:S14"/>
    <mergeCell ref="G54:H54"/>
    <mergeCell ref="G56:H56"/>
    <mergeCell ref="G59:H59"/>
    <mergeCell ref="B45:S45"/>
  </mergeCells>
  <pageMargins left="0.7" right="0.7" top="0.75" bottom="0.75" header="0.3" footer="0.3"/>
  <pageSetup scale="21" orientation="portrait" r:id="rId1"/>
  <colBreaks count="1" manualBreakCount="1">
    <brk id="4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T60"/>
  <sheetViews>
    <sheetView zoomScaleNormal="100" workbookViewId="0">
      <selection activeCell="S44" sqref="S44"/>
    </sheetView>
  </sheetViews>
  <sheetFormatPr defaultRowHeight="12.75" x14ac:dyDescent="0.2"/>
  <cols>
    <col min="1" max="1" width="1.28515625" style="191" customWidth="1"/>
    <col min="2" max="2" width="4.5703125" style="191" customWidth="1"/>
    <col min="3" max="19" width="9.140625" style="191"/>
    <col min="20" max="20" width="4.5703125" style="191" customWidth="1"/>
    <col min="21" max="16384" width="9.140625" style="191"/>
  </cols>
  <sheetData>
    <row r="1" spans="2:20" ht="6.75" customHeight="1" thickBot="1" x14ac:dyDescent="0.25"/>
    <row r="2" spans="2:20" ht="16.5" thickBot="1" x14ac:dyDescent="0.3">
      <c r="B2" s="394" t="s">
        <v>73</v>
      </c>
      <c r="C2" s="395"/>
      <c r="D2" s="395"/>
      <c r="E2" s="395"/>
      <c r="F2" s="395"/>
      <c r="G2" s="395"/>
      <c r="H2" s="395"/>
      <c r="I2" s="395"/>
      <c r="J2" s="395"/>
      <c r="K2" s="395"/>
      <c r="L2" s="395"/>
      <c r="M2" s="395"/>
      <c r="N2" s="395"/>
      <c r="O2" s="395"/>
      <c r="P2" s="395"/>
      <c r="Q2" s="395"/>
      <c r="R2" s="395"/>
      <c r="S2" s="395"/>
      <c r="T2" s="396"/>
    </row>
    <row r="3" spans="2:20" ht="12.75" customHeight="1" x14ac:dyDescent="0.25">
      <c r="B3" s="333"/>
      <c r="C3" s="334"/>
      <c r="D3" s="334"/>
      <c r="E3" s="334"/>
      <c r="F3" s="334"/>
      <c r="G3" s="334"/>
      <c r="H3" s="334"/>
      <c r="I3" s="334"/>
      <c r="J3" s="334"/>
      <c r="K3" s="334"/>
      <c r="L3" s="334"/>
      <c r="M3" s="334"/>
      <c r="N3" s="334"/>
      <c r="O3" s="334"/>
      <c r="P3" s="334"/>
      <c r="Q3" s="334"/>
      <c r="R3" s="334"/>
      <c r="S3" s="334"/>
      <c r="T3" s="335"/>
    </row>
    <row r="4" spans="2:20" ht="12.75" customHeight="1" x14ac:dyDescent="0.25">
      <c r="B4" s="333"/>
      <c r="C4" s="461" t="s">
        <v>222</v>
      </c>
      <c r="D4" s="461"/>
      <c r="E4" s="461"/>
      <c r="F4" s="461"/>
      <c r="G4" s="461"/>
      <c r="H4" s="461"/>
      <c r="I4" s="461"/>
      <c r="J4" s="461"/>
      <c r="K4" s="461"/>
      <c r="L4" s="461"/>
      <c r="M4" s="461"/>
      <c r="N4" s="461"/>
      <c r="O4" s="461"/>
      <c r="P4" s="461"/>
      <c r="Q4" s="461"/>
      <c r="R4" s="461"/>
      <c r="S4" s="461"/>
      <c r="T4" s="335"/>
    </row>
    <row r="5" spans="2:20" ht="12.75" customHeight="1" x14ac:dyDescent="0.25">
      <c r="B5" s="333"/>
      <c r="C5" s="461"/>
      <c r="D5" s="461"/>
      <c r="E5" s="461"/>
      <c r="F5" s="461"/>
      <c r="G5" s="461"/>
      <c r="H5" s="461"/>
      <c r="I5" s="461"/>
      <c r="J5" s="461"/>
      <c r="K5" s="461"/>
      <c r="L5" s="461"/>
      <c r="M5" s="461"/>
      <c r="N5" s="461"/>
      <c r="O5" s="461"/>
      <c r="P5" s="461"/>
      <c r="Q5" s="461"/>
      <c r="R5" s="461"/>
      <c r="S5" s="461"/>
      <c r="T5" s="335"/>
    </row>
    <row r="6" spans="2:20" ht="12.75" customHeight="1" x14ac:dyDescent="0.25">
      <c r="B6" s="333"/>
      <c r="C6" s="334"/>
      <c r="D6" s="334"/>
      <c r="E6" s="334"/>
      <c r="F6" s="334"/>
      <c r="G6" s="334"/>
      <c r="H6" s="334"/>
      <c r="I6" s="334"/>
      <c r="J6" s="334"/>
      <c r="K6" s="334"/>
      <c r="L6" s="334"/>
      <c r="M6" s="334"/>
      <c r="N6" s="334"/>
      <c r="O6" s="334"/>
      <c r="P6" s="334"/>
      <c r="Q6" s="334"/>
      <c r="R6" s="334"/>
      <c r="S6" s="334"/>
      <c r="T6" s="335"/>
    </row>
    <row r="7" spans="2:20" ht="25.5" customHeight="1" x14ac:dyDescent="0.25">
      <c r="B7" s="333"/>
      <c r="C7" s="474" t="s">
        <v>264</v>
      </c>
      <c r="D7" s="474"/>
      <c r="E7" s="474"/>
      <c r="F7" s="474"/>
      <c r="G7" s="474"/>
      <c r="H7" s="474"/>
      <c r="I7" s="474"/>
      <c r="J7" s="474"/>
      <c r="K7" s="474"/>
      <c r="L7" s="474"/>
      <c r="M7" s="474"/>
      <c r="N7" s="474"/>
      <c r="O7" s="474"/>
      <c r="P7" s="474"/>
      <c r="Q7" s="474"/>
      <c r="R7" s="474"/>
      <c r="S7" s="474"/>
      <c r="T7" s="335"/>
    </row>
    <row r="8" spans="2:20" ht="23.25" customHeight="1" x14ac:dyDescent="0.25">
      <c r="B8" s="333"/>
      <c r="C8" s="474"/>
      <c r="D8" s="474"/>
      <c r="E8" s="474"/>
      <c r="F8" s="474"/>
      <c r="G8" s="474"/>
      <c r="H8" s="474"/>
      <c r="I8" s="474"/>
      <c r="J8" s="474"/>
      <c r="K8" s="474"/>
      <c r="L8" s="474"/>
      <c r="M8" s="474"/>
      <c r="N8" s="474"/>
      <c r="O8" s="474"/>
      <c r="P8" s="474"/>
      <c r="Q8" s="474"/>
      <c r="R8" s="474"/>
      <c r="S8" s="474"/>
      <c r="T8" s="335"/>
    </row>
    <row r="9" spans="2:20" ht="12.75" customHeight="1" x14ac:dyDescent="0.25">
      <c r="B9" s="333"/>
      <c r="C9" s="328"/>
      <c r="D9" s="328"/>
      <c r="E9" s="328"/>
      <c r="F9" s="328"/>
      <c r="G9" s="328"/>
      <c r="H9" s="328"/>
      <c r="I9" s="328"/>
      <c r="J9" s="328"/>
      <c r="K9" s="328"/>
      <c r="L9" s="328"/>
      <c r="M9" s="328"/>
      <c r="N9" s="328"/>
      <c r="O9" s="328"/>
      <c r="P9" s="328"/>
      <c r="Q9" s="328"/>
      <c r="R9" s="328"/>
      <c r="S9" s="328"/>
      <c r="T9" s="335"/>
    </row>
    <row r="10" spans="2:20" ht="12.75" customHeight="1" x14ac:dyDescent="0.25">
      <c r="B10" s="333"/>
      <c r="C10" s="461" t="s">
        <v>216</v>
      </c>
      <c r="D10" s="461"/>
      <c r="E10" s="461"/>
      <c r="F10" s="461"/>
      <c r="G10" s="461"/>
      <c r="H10" s="461"/>
      <c r="I10" s="461"/>
      <c r="J10" s="461"/>
      <c r="K10" s="461"/>
      <c r="L10" s="461"/>
      <c r="M10" s="461"/>
      <c r="N10" s="461"/>
      <c r="O10" s="461"/>
      <c r="P10" s="461"/>
      <c r="Q10" s="461"/>
      <c r="R10" s="461"/>
      <c r="S10" s="461"/>
      <c r="T10" s="335"/>
    </row>
    <row r="11" spans="2:20" ht="12.75" customHeight="1" x14ac:dyDescent="0.25">
      <c r="B11" s="333"/>
      <c r="C11" s="327"/>
      <c r="D11" s="327"/>
      <c r="E11" s="327"/>
      <c r="F11" s="327"/>
      <c r="G11" s="327"/>
      <c r="H11" s="327"/>
      <c r="I11" s="327"/>
      <c r="J11" s="327"/>
      <c r="K11" s="327"/>
      <c r="L11" s="327"/>
      <c r="M11" s="327"/>
      <c r="N11" s="327"/>
      <c r="O11" s="327"/>
      <c r="P11" s="327"/>
      <c r="Q11" s="327"/>
      <c r="R11" s="327"/>
      <c r="S11" s="327"/>
      <c r="T11" s="335"/>
    </row>
    <row r="12" spans="2:20" ht="12.75" customHeight="1" x14ac:dyDescent="0.25">
      <c r="B12" s="333"/>
      <c r="C12" s="461" t="s">
        <v>221</v>
      </c>
      <c r="D12" s="461"/>
      <c r="E12" s="461"/>
      <c r="F12" s="461"/>
      <c r="G12" s="461"/>
      <c r="H12" s="461"/>
      <c r="I12" s="461"/>
      <c r="J12" s="461"/>
      <c r="K12" s="461"/>
      <c r="L12" s="461"/>
      <c r="M12" s="461"/>
      <c r="N12" s="461"/>
      <c r="O12" s="461"/>
      <c r="P12" s="461"/>
      <c r="Q12" s="461"/>
      <c r="R12" s="461"/>
      <c r="S12" s="461"/>
      <c r="T12" s="335"/>
    </row>
    <row r="13" spans="2:20" ht="12.75" customHeight="1" x14ac:dyDescent="0.25">
      <c r="B13" s="333"/>
      <c r="C13" s="327"/>
      <c r="D13" s="327"/>
      <c r="E13" s="327"/>
      <c r="F13" s="327"/>
      <c r="G13" s="327"/>
      <c r="H13" s="327"/>
      <c r="I13" s="327"/>
      <c r="J13" s="327"/>
      <c r="K13" s="327"/>
      <c r="L13" s="327"/>
      <c r="M13" s="327"/>
      <c r="N13" s="327"/>
      <c r="O13" s="327"/>
      <c r="P13" s="327"/>
      <c r="Q13" s="327"/>
      <c r="R13" s="327"/>
      <c r="S13" s="327"/>
      <c r="T13" s="335"/>
    </row>
    <row r="14" spans="2:20" ht="12.75" customHeight="1" x14ac:dyDescent="0.25">
      <c r="B14" s="333"/>
      <c r="C14" s="461" t="s">
        <v>215</v>
      </c>
      <c r="D14" s="461"/>
      <c r="E14" s="461"/>
      <c r="F14" s="461"/>
      <c r="G14" s="461"/>
      <c r="H14" s="461"/>
      <c r="I14" s="461"/>
      <c r="J14" s="461"/>
      <c r="K14" s="461"/>
      <c r="L14" s="461"/>
      <c r="M14" s="461"/>
      <c r="N14" s="461"/>
      <c r="O14" s="461"/>
      <c r="P14" s="461"/>
      <c r="Q14" s="461"/>
      <c r="R14" s="461"/>
      <c r="S14" s="461"/>
      <c r="T14" s="335"/>
    </row>
    <row r="15" spans="2:20" ht="12.75" customHeight="1" x14ac:dyDescent="0.25">
      <c r="B15" s="333"/>
      <c r="C15" s="461"/>
      <c r="D15" s="461"/>
      <c r="E15" s="461"/>
      <c r="F15" s="461"/>
      <c r="G15" s="461"/>
      <c r="H15" s="461"/>
      <c r="I15" s="461"/>
      <c r="J15" s="461"/>
      <c r="K15" s="461"/>
      <c r="L15" s="461"/>
      <c r="M15" s="461"/>
      <c r="N15" s="461"/>
      <c r="O15" s="461"/>
      <c r="P15" s="461"/>
      <c r="Q15" s="461"/>
      <c r="R15" s="461"/>
      <c r="S15" s="461"/>
      <c r="T15" s="335"/>
    </row>
    <row r="16" spans="2:20" ht="12.75" customHeight="1" x14ac:dyDescent="0.25">
      <c r="B16" s="333"/>
      <c r="C16" s="327"/>
      <c r="D16" s="327"/>
      <c r="E16" s="327"/>
      <c r="F16" s="327"/>
      <c r="G16" s="327"/>
      <c r="H16" s="327"/>
      <c r="I16" s="327"/>
      <c r="J16" s="327"/>
      <c r="K16" s="327"/>
      <c r="L16" s="327"/>
      <c r="M16" s="327"/>
      <c r="N16" s="327"/>
      <c r="O16" s="327"/>
      <c r="P16" s="327"/>
      <c r="Q16" s="327"/>
      <c r="R16" s="327"/>
      <c r="S16" s="327"/>
      <c r="T16" s="335"/>
    </row>
    <row r="17" spans="2:20" ht="12.75" customHeight="1" x14ac:dyDescent="0.2">
      <c r="B17" s="261"/>
      <c r="C17" s="268" t="s">
        <v>75</v>
      </c>
      <c r="D17" s="193"/>
      <c r="E17" s="193"/>
      <c r="F17" s="193"/>
      <c r="G17" s="193"/>
      <c r="H17" s="193"/>
      <c r="I17" s="193"/>
      <c r="J17" s="193"/>
      <c r="K17" s="193"/>
      <c r="L17" s="193"/>
      <c r="M17" s="193"/>
      <c r="N17" s="193"/>
      <c r="O17" s="193"/>
      <c r="P17" s="193"/>
      <c r="Q17" s="193"/>
      <c r="R17" s="193"/>
      <c r="S17" s="193"/>
      <c r="T17" s="207"/>
    </row>
    <row r="18" spans="2:20" x14ac:dyDescent="0.2">
      <c r="B18" s="269"/>
      <c r="C18" s="270"/>
      <c r="D18" s="193"/>
      <c r="E18" s="193"/>
      <c r="F18" s="193"/>
      <c r="G18" s="193"/>
      <c r="H18" s="193"/>
      <c r="I18" s="193"/>
      <c r="J18" s="193"/>
      <c r="K18" s="270"/>
      <c r="L18" s="193"/>
      <c r="M18" s="193"/>
      <c r="N18" s="193"/>
      <c r="O18" s="193"/>
      <c r="P18" s="270"/>
      <c r="Q18" s="193"/>
      <c r="R18" s="193"/>
      <c r="S18" s="193"/>
      <c r="T18" s="207"/>
    </row>
    <row r="19" spans="2:20" x14ac:dyDescent="0.2">
      <c r="B19" s="214"/>
      <c r="C19" s="331" t="s">
        <v>212</v>
      </c>
      <c r="D19" s="193"/>
      <c r="E19" s="193"/>
      <c r="F19" s="193"/>
      <c r="G19" s="194" t="s">
        <v>213</v>
      </c>
      <c r="H19" s="193"/>
      <c r="I19" s="193"/>
      <c r="J19" s="193"/>
      <c r="K19" s="194" t="s">
        <v>214</v>
      </c>
      <c r="L19" s="193"/>
      <c r="M19" s="193"/>
      <c r="N19" s="193"/>
      <c r="O19" s="193"/>
      <c r="P19" s="193"/>
      <c r="Q19" s="193"/>
      <c r="R19" s="193"/>
      <c r="S19" s="193"/>
      <c r="T19" s="207"/>
    </row>
    <row r="20" spans="2:20" x14ac:dyDescent="0.2">
      <c r="B20" s="214"/>
      <c r="C20" s="215"/>
      <c r="D20" s="193"/>
      <c r="E20" s="193"/>
      <c r="F20" s="193"/>
      <c r="G20" s="193"/>
      <c r="H20" s="193"/>
      <c r="I20" s="193"/>
      <c r="J20" s="193"/>
      <c r="K20" s="193"/>
      <c r="L20" s="215"/>
      <c r="M20" s="193"/>
      <c r="N20" s="193"/>
      <c r="O20" s="193"/>
      <c r="P20" s="193"/>
      <c r="Q20" s="193"/>
      <c r="R20" s="193"/>
      <c r="S20" s="193"/>
      <c r="T20" s="207"/>
    </row>
    <row r="21" spans="2:20" x14ac:dyDescent="0.2">
      <c r="B21" s="214"/>
      <c r="C21" s="215"/>
      <c r="D21" s="193"/>
      <c r="E21" s="193"/>
      <c r="F21" s="193"/>
      <c r="G21" s="193"/>
      <c r="H21" s="193"/>
      <c r="I21" s="193"/>
      <c r="J21" s="193"/>
      <c r="K21" s="193"/>
      <c r="L21" s="215"/>
      <c r="M21" s="193"/>
      <c r="N21" s="193"/>
      <c r="O21" s="193"/>
      <c r="P21" s="193"/>
      <c r="Q21" s="193"/>
      <c r="R21" s="193"/>
      <c r="S21" s="193"/>
      <c r="T21" s="207"/>
    </row>
    <row r="22" spans="2:20" x14ac:dyDescent="0.2">
      <c r="B22" s="261"/>
      <c r="C22" s="193"/>
      <c r="D22" s="193"/>
      <c r="E22" s="193"/>
      <c r="F22" s="193"/>
      <c r="G22" s="193"/>
      <c r="H22" s="193"/>
      <c r="I22" s="193"/>
      <c r="J22" s="193"/>
      <c r="K22" s="193"/>
      <c r="L22" s="215"/>
      <c r="M22" s="193"/>
      <c r="N22" s="193"/>
      <c r="O22" s="193"/>
      <c r="P22" s="193"/>
      <c r="Q22" s="193"/>
      <c r="R22" s="193"/>
      <c r="S22" s="193"/>
      <c r="T22" s="207"/>
    </row>
    <row r="23" spans="2:20" x14ac:dyDescent="0.2">
      <c r="B23" s="261"/>
      <c r="C23" s="193"/>
      <c r="D23" s="193"/>
      <c r="E23" s="193"/>
      <c r="F23" s="193"/>
      <c r="G23" s="193"/>
      <c r="H23" s="193"/>
      <c r="I23" s="193"/>
      <c r="J23" s="193"/>
      <c r="K23" s="193"/>
      <c r="L23" s="193"/>
      <c r="M23" s="193"/>
      <c r="N23" s="193"/>
      <c r="O23" s="193"/>
      <c r="P23" s="193"/>
      <c r="Q23" s="193"/>
      <c r="R23" s="193"/>
      <c r="S23" s="193"/>
      <c r="T23" s="207"/>
    </row>
    <row r="24" spans="2:20" x14ac:dyDescent="0.2">
      <c r="B24" s="261"/>
      <c r="C24" s="193"/>
      <c r="D24" s="193"/>
      <c r="E24" s="193"/>
      <c r="F24" s="193"/>
      <c r="G24" s="193"/>
      <c r="H24" s="193"/>
      <c r="I24" s="193"/>
      <c r="J24" s="193"/>
      <c r="K24" s="193"/>
      <c r="L24" s="193"/>
      <c r="M24" s="193"/>
      <c r="N24" s="193"/>
      <c r="O24" s="193"/>
      <c r="P24" s="193"/>
      <c r="Q24" s="193"/>
      <c r="R24" s="193"/>
      <c r="S24" s="193"/>
      <c r="T24" s="207"/>
    </row>
    <row r="25" spans="2:20" x14ac:dyDescent="0.2">
      <c r="B25" s="261"/>
      <c r="C25" s="193"/>
      <c r="D25" s="193"/>
      <c r="E25" s="193"/>
      <c r="F25" s="193"/>
      <c r="G25" s="193"/>
      <c r="H25" s="193"/>
      <c r="I25" s="193"/>
      <c r="J25" s="193"/>
      <c r="K25" s="193"/>
      <c r="L25" s="193"/>
      <c r="M25" s="193"/>
      <c r="N25" s="193"/>
      <c r="O25" s="193"/>
      <c r="P25" s="193"/>
      <c r="Q25" s="193"/>
      <c r="R25" s="193"/>
      <c r="S25" s="193"/>
      <c r="T25" s="207"/>
    </row>
    <row r="26" spans="2:20" x14ac:dyDescent="0.2">
      <c r="B26" s="261"/>
      <c r="C26" s="193"/>
      <c r="D26" s="193"/>
      <c r="E26" s="193"/>
      <c r="F26" s="193"/>
      <c r="G26" s="193"/>
      <c r="H26" s="193"/>
      <c r="I26" s="193"/>
      <c r="J26" s="193"/>
      <c r="K26" s="193"/>
      <c r="L26" s="193"/>
      <c r="M26" s="193"/>
      <c r="N26" s="193"/>
      <c r="O26" s="193"/>
      <c r="P26" s="193"/>
      <c r="Q26" s="193"/>
      <c r="R26" s="193"/>
      <c r="S26" s="193"/>
      <c r="T26" s="207"/>
    </row>
    <row r="27" spans="2:20" x14ac:dyDescent="0.2">
      <c r="B27" s="261"/>
      <c r="C27" s="193"/>
      <c r="D27" s="193"/>
      <c r="E27" s="193"/>
      <c r="F27" s="193"/>
      <c r="G27" s="193"/>
      <c r="H27" s="193"/>
      <c r="I27" s="193"/>
      <c r="J27" s="193"/>
      <c r="K27" s="193"/>
      <c r="L27" s="193"/>
      <c r="M27" s="193"/>
      <c r="N27" s="193"/>
      <c r="O27" s="193"/>
      <c r="P27" s="193"/>
      <c r="Q27" s="193"/>
      <c r="R27" s="193"/>
      <c r="S27" s="193"/>
      <c r="T27" s="207"/>
    </row>
    <row r="28" spans="2:20" x14ac:dyDescent="0.2">
      <c r="B28" s="261"/>
      <c r="C28" s="193"/>
      <c r="D28" s="193"/>
      <c r="E28" s="193"/>
      <c r="F28" s="193"/>
      <c r="G28" s="193"/>
      <c r="H28" s="193"/>
      <c r="I28" s="193"/>
      <c r="J28" s="193"/>
      <c r="K28" s="193"/>
      <c r="L28" s="193"/>
      <c r="M28" s="193"/>
      <c r="N28" s="193"/>
      <c r="O28" s="193"/>
      <c r="P28" s="193"/>
      <c r="Q28" s="193"/>
      <c r="R28" s="193"/>
      <c r="S28" s="193"/>
      <c r="T28" s="207"/>
    </row>
    <row r="29" spans="2:20" x14ac:dyDescent="0.2">
      <c r="B29" s="261"/>
      <c r="C29" s="193"/>
      <c r="D29" s="193"/>
      <c r="E29" s="193"/>
      <c r="F29" s="193"/>
      <c r="G29" s="193"/>
      <c r="H29" s="193"/>
      <c r="I29" s="193"/>
      <c r="J29" s="193"/>
      <c r="K29" s="193"/>
      <c r="L29" s="193"/>
      <c r="M29" s="193"/>
      <c r="N29" s="193"/>
      <c r="O29" s="193"/>
      <c r="P29" s="193"/>
      <c r="Q29" s="193"/>
      <c r="R29" s="193"/>
      <c r="S29" s="193"/>
      <c r="T29" s="207"/>
    </row>
    <row r="30" spans="2:20" x14ac:dyDescent="0.2">
      <c r="B30" s="261"/>
      <c r="C30" s="193"/>
      <c r="D30" s="193"/>
      <c r="E30" s="193"/>
      <c r="F30" s="193"/>
      <c r="G30" s="193"/>
      <c r="H30" s="193"/>
      <c r="I30" s="193"/>
      <c r="J30" s="193"/>
      <c r="K30" s="193"/>
      <c r="L30" s="193"/>
      <c r="M30" s="193"/>
      <c r="N30" s="193"/>
      <c r="O30" s="193"/>
      <c r="P30" s="193"/>
      <c r="Q30" s="193"/>
      <c r="R30" s="193"/>
      <c r="S30" s="193"/>
      <c r="T30" s="207"/>
    </row>
    <row r="31" spans="2:20" x14ac:dyDescent="0.2">
      <c r="B31" s="261"/>
      <c r="C31" s="193"/>
      <c r="D31" s="193"/>
      <c r="E31" s="193"/>
      <c r="F31" s="193"/>
      <c r="G31" s="193"/>
      <c r="H31" s="193"/>
      <c r="I31" s="193"/>
      <c r="J31" s="193"/>
      <c r="K31" s="193"/>
      <c r="L31" s="193"/>
      <c r="M31" s="193"/>
      <c r="N31" s="193"/>
      <c r="O31" s="193"/>
      <c r="P31" s="193"/>
      <c r="Q31" s="193"/>
      <c r="R31" s="193"/>
      <c r="S31" s="193"/>
      <c r="T31" s="207"/>
    </row>
    <row r="32" spans="2:20" x14ac:dyDescent="0.2">
      <c r="B32" s="261"/>
      <c r="C32" s="193"/>
      <c r="D32" s="193"/>
      <c r="E32" s="193"/>
      <c r="F32" s="193"/>
      <c r="G32" s="193"/>
      <c r="H32" s="193"/>
      <c r="I32" s="193"/>
      <c r="J32" s="193"/>
      <c r="K32" s="193"/>
      <c r="L32" s="193"/>
      <c r="M32" s="193"/>
      <c r="N32" s="193"/>
      <c r="O32" s="193"/>
      <c r="P32" s="193"/>
      <c r="Q32" s="193"/>
      <c r="R32" s="193"/>
      <c r="S32" s="193"/>
      <c r="T32" s="207"/>
    </row>
    <row r="33" spans="2:20" x14ac:dyDescent="0.2">
      <c r="B33" s="261"/>
      <c r="C33" s="193"/>
      <c r="D33" s="193"/>
      <c r="E33" s="193"/>
      <c r="F33" s="193"/>
      <c r="G33" s="193"/>
      <c r="H33" s="193"/>
      <c r="I33" s="193"/>
      <c r="J33" s="193"/>
      <c r="K33" s="193"/>
      <c r="L33" s="193"/>
      <c r="M33" s="193"/>
      <c r="N33" s="193"/>
      <c r="O33" s="193"/>
      <c r="P33" s="193"/>
      <c r="Q33" s="193"/>
      <c r="R33" s="193"/>
      <c r="S33" s="193"/>
      <c r="T33" s="207"/>
    </row>
    <row r="34" spans="2:20" x14ac:dyDescent="0.2">
      <c r="B34" s="261"/>
      <c r="C34" s="193"/>
      <c r="D34" s="193"/>
      <c r="E34" s="193"/>
      <c r="F34" s="193"/>
      <c r="G34" s="193"/>
      <c r="H34" s="193"/>
      <c r="I34" s="193"/>
      <c r="J34" s="193"/>
      <c r="K34" s="193"/>
      <c r="L34" s="193"/>
      <c r="M34" s="193"/>
      <c r="N34" s="193"/>
      <c r="O34" s="193"/>
      <c r="P34" s="193"/>
      <c r="Q34" s="193"/>
      <c r="R34" s="193"/>
      <c r="S34" s="193"/>
      <c r="T34" s="207"/>
    </row>
    <row r="35" spans="2:20" x14ac:dyDescent="0.2">
      <c r="B35" s="261"/>
      <c r="C35" s="193"/>
      <c r="D35" s="193"/>
      <c r="E35" s="193"/>
      <c r="F35" s="193"/>
      <c r="G35" s="193"/>
      <c r="H35" s="193"/>
      <c r="I35" s="193"/>
      <c r="J35" s="193"/>
      <c r="K35" s="193"/>
      <c r="L35" s="193"/>
      <c r="M35" s="193"/>
      <c r="N35" s="193"/>
      <c r="O35" s="193"/>
      <c r="P35" s="193"/>
      <c r="Q35" s="193"/>
      <c r="R35" s="193"/>
      <c r="S35" s="193"/>
      <c r="T35" s="207"/>
    </row>
    <row r="36" spans="2:20" x14ac:dyDescent="0.2">
      <c r="B36" s="261"/>
      <c r="C36" s="268" t="s">
        <v>74</v>
      </c>
      <c r="D36" s="193"/>
      <c r="E36" s="193"/>
      <c r="F36" s="193"/>
      <c r="G36" s="193"/>
      <c r="H36" s="193"/>
      <c r="I36" s="193"/>
      <c r="J36" s="193"/>
      <c r="K36" s="193"/>
      <c r="L36" s="193"/>
      <c r="M36" s="193"/>
      <c r="N36" s="193"/>
      <c r="O36" s="193"/>
      <c r="P36" s="193"/>
      <c r="Q36" s="193"/>
      <c r="R36" s="193"/>
      <c r="S36" s="193"/>
      <c r="T36" s="207"/>
    </row>
    <row r="37" spans="2:20" x14ac:dyDescent="0.2">
      <c r="B37" s="261"/>
      <c r="C37" s="193"/>
      <c r="D37" s="193"/>
      <c r="E37" s="193"/>
      <c r="F37" s="193"/>
      <c r="G37" s="193"/>
      <c r="H37" s="193"/>
      <c r="I37" s="193"/>
      <c r="J37" s="193"/>
      <c r="K37" s="193"/>
      <c r="L37" s="193"/>
      <c r="M37" s="193"/>
      <c r="N37" s="193"/>
      <c r="O37" s="193"/>
      <c r="P37" s="193"/>
      <c r="Q37" s="193"/>
      <c r="R37" s="193"/>
      <c r="S37" s="193"/>
      <c r="T37" s="207"/>
    </row>
    <row r="38" spans="2:20" x14ac:dyDescent="0.2">
      <c r="B38" s="266"/>
      <c r="C38" s="329"/>
      <c r="D38" s="193"/>
      <c r="E38" s="193"/>
      <c r="F38" s="193"/>
      <c r="G38" s="193"/>
      <c r="H38" s="193"/>
      <c r="I38" s="193"/>
      <c r="J38" s="193"/>
      <c r="K38" s="193"/>
      <c r="L38" s="193"/>
      <c r="M38" s="193"/>
      <c r="N38" s="193"/>
      <c r="O38" s="193"/>
      <c r="P38" s="193"/>
      <c r="Q38" s="193"/>
      <c r="R38" s="193"/>
      <c r="S38" s="193"/>
      <c r="T38" s="207"/>
    </row>
    <row r="39" spans="2:20" x14ac:dyDescent="0.2">
      <c r="B39" s="267"/>
      <c r="C39" s="330"/>
      <c r="D39" s="193"/>
      <c r="E39" s="193"/>
      <c r="F39" s="193"/>
      <c r="G39" s="193"/>
      <c r="H39" s="193"/>
      <c r="I39" s="193"/>
      <c r="J39" s="193"/>
      <c r="K39" s="193"/>
      <c r="L39" s="193"/>
      <c r="M39" s="193"/>
      <c r="N39" s="193"/>
      <c r="O39" s="193"/>
      <c r="P39" s="193"/>
      <c r="Q39" s="193"/>
      <c r="R39" s="193"/>
      <c r="S39" s="193"/>
      <c r="T39" s="207"/>
    </row>
    <row r="40" spans="2:20" x14ac:dyDescent="0.2">
      <c r="B40" s="267"/>
      <c r="C40" s="330"/>
      <c r="D40" s="193"/>
      <c r="E40" s="193"/>
      <c r="F40" s="193"/>
      <c r="G40" s="193"/>
      <c r="H40" s="193"/>
      <c r="I40" s="193"/>
      <c r="J40" s="193"/>
      <c r="K40" s="193"/>
      <c r="L40" s="193"/>
      <c r="M40" s="193"/>
      <c r="N40" s="193"/>
      <c r="O40" s="193"/>
      <c r="P40" s="193"/>
      <c r="Q40" s="193"/>
      <c r="R40" s="193"/>
      <c r="S40" s="193"/>
      <c r="T40" s="207"/>
    </row>
    <row r="41" spans="2:20" x14ac:dyDescent="0.2">
      <c r="B41" s="267"/>
      <c r="C41" s="330"/>
      <c r="D41" s="193"/>
      <c r="E41" s="193"/>
      <c r="F41" s="193"/>
      <c r="G41" s="193"/>
      <c r="H41" s="193"/>
      <c r="I41" s="193"/>
      <c r="J41" s="193"/>
      <c r="K41" s="193"/>
      <c r="L41" s="193"/>
      <c r="M41" s="193"/>
      <c r="N41" s="193"/>
      <c r="O41" s="193"/>
      <c r="P41" s="193"/>
      <c r="Q41" s="193"/>
      <c r="R41" s="193"/>
      <c r="S41" s="193"/>
      <c r="T41" s="207"/>
    </row>
    <row r="42" spans="2:20" x14ac:dyDescent="0.2">
      <c r="B42" s="261"/>
      <c r="C42" s="193"/>
      <c r="D42" s="193"/>
      <c r="E42" s="193"/>
      <c r="F42" s="193"/>
      <c r="G42" s="193"/>
      <c r="H42" s="193"/>
      <c r="I42" s="193"/>
      <c r="J42" s="193"/>
      <c r="K42" s="193"/>
      <c r="L42" s="193"/>
      <c r="M42" s="193"/>
      <c r="N42" s="193"/>
      <c r="O42" s="193"/>
      <c r="P42" s="193"/>
      <c r="Q42" s="193"/>
      <c r="R42" s="193"/>
      <c r="S42" s="193"/>
      <c r="T42" s="207"/>
    </row>
    <row r="43" spans="2:20" x14ac:dyDescent="0.2">
      <c r="B43" s="261"/>
      <c r="C43" s="193"/>
      <c r="D43" s="193"/>
      <c r="E43" s="193"/>
      <c r="F43" s="193"/>
      <c r="G43" s="193"/>
      <c r="H43" s="193"/>
      <c r="I43" s="193"/>
      <c r="J43" s="193"/>
      <c r="K43" s="193"/>
      <c r="L43" s="193"/>
      <c r="M43" s="193"/>
      <c r="N43" s="193"/>
      <c r="O43" s="193"/>
      <c r="P43" s="193"/>
      <c r="Q43" s="193"/>
      <c r="R43" s="193"/>
      <c r="S43" s="193"/>
      <c r="T43" s="207"/>
    </row>
    <row r="44" spans="2:20" x14ac:dyDescent="0.2">
      <c r="B44" s="261"/>
      <c r="C44" s="193"/>
      <c r="D44" s="193"/>
      <c r="E44" s="193"/>
      <c r="F44" s="193"/>
      <c r="G44" s="193"/>
      <c r="H44" s="193"/>
      <c r="I44" s="193"/>
      <c r="J44" s="193"/>
      <c r="K44" s="193"/>
      <c r="L44" s="193"/>
      <c r="M44" s="193"/>
      <c r="N44" s="193"/>
      <c r="O44" s="193"/>
      <c r="P44" s="193"/>
      <c r="Q44" s="193"/>
      <c r="R44" s="193"/>
      <c r="S44" s="193"/>
      <c r="T44" s="207"/>
    </row>
    <row r="45" spans="2:20" x14ac:dyDescent="0.2">
      <c r="B45" s="261"/>
      <c r="C45" s="193"/>
      <c r="D45" s="193"/>
      <c r="E45" s="193"/>
      <c r="F45" s="193"/>
      <c r="G45" s="268"/>
      <c r="H45" s="193"/>
      <c r="I45" s="193"/>
      <c r="J45" s="193"/>
      <c r="K45" s="193"/>
      <c r="L45" s="193"/>
      <c r="M45" s="193"/>
      <c r="N45" s="193"/>
      <c r="O45" s="193"/>
      <c r="P45" s="193"/>
      <c r="Q45" s="193"/>
      <c r="R45" s="193"/>
      <c r="S45" s="193"/>
      <c r="T45" s="207"/>
    </row>
    <row r="46" spans="2:20" x14ac:dyDescent="0.2">
      <c r="B46" s="261"/>
      <c r="C46" s="193"/>
      <c r="D46" s="193"/>
      <c r="E46" s="193"/>
      <c r="F46" s="193"/>
      <c r="G46" s="193"/>
      <c r="H46" s="193"/>
      <c r="I46" s="193"/>
      <c r="J46" s="193"/>
      <c r="K46" s="193"/>
      <c r="L46" s="193"/>
      <c r="M46" s="193"/>
      <c r="N46" s="193"/>
      <c r="O46" s="193"/>
      <c r="P46" s="193"/>
      <c r="Q46" s="193"/>
      <c r="R46" s="193"/>
      <c r="S46" s="193"/>
      <c r="T46" s="207"/>
    </row>
    <row r="47" spans="2:20" x14ac:dyDescent="0.2">
      <c r="B47" s="261"/>
      <c r="C47" s="193"/>
      <c r="D47" s="193"/>
      <c r="E47" s="193"/>
      <c r="F47" s="193"/>
      <c r="G47" s="193"/>
      <c r="H47" s="193"/>
      <c r="I47" s="193"/>
      <c r="J47" s="193"/>
      <c r="K47" s="193"/>
      <c r="L47" s="193"/>
      <c r="M47" s="193"/>
      <c r="N47" s="193"/>
      <c r="O47" s="193"/>
      <c r="P47" s="193"/>
      <c r="Q47" s="193"/>
      <c r="R47" s="193"/>
      <c r="S47" s="193"/>
      <c r="T47" s="207"/>
    </row>
    <row r="48" spans="2:20" x14ac:dyDescent="0.2">
      <c r="B48" s="261"/>
      <c r="C48" s="193"/>
      <c r="D48" s="193"/>
      <c r="E48" s="193"/>
      <c r="F48" s="193"/>
      <c r="G48" s="193"/>
      <c r="H48" s="193"/>
      <c r="I48" s="193"/>
      <c r="J48" s="193"/>
      <c r="K48" s="193"/>
      <c r="L48" s="193"/>
      <c r="M48" s="193"/>
      <c r="N48" s="193"/>
      <c r="O48" s="193"/>
      <c r="P48" s="193"/>
      <c r="Q48" s="193"/>
      <c r="R48" s="193"/>
      <c r="S48" s="193"/>
      <c r="T48" s="207"/>
    </row>
    <row r="49" spans="2:20" x14ac:dyDescent="0.2">
      <c r="B49" s="261"/>
      <c r="C49" s="193"/>
      <c r="D49" s="193"/>
      <c r="E49" s="193"/>
      <c r="F49" s="193"/>
      <c r="G49" s="193"/>
      <c r="H49" s="193"/>
      <c r="I49" s="193"/>
      <c r="J49" s="193"/>
      <c r="K49" s="193"/>
      <c r="L49" s="193"/>
      <c r="M49" s="193"/>
      <c r="N49" s="193"/>
      <c r="O49" s="193"/>
      <c r="P49" s="193"/>
      <c r="Q49" s="193"/>
      <c r="R49" s="193"/>
      <c r="S49" s="193"/>
      <c r="T49" s="207"/>
    </row>
    <row r="50" spans="2:20" x14ac:dyDescent="0.2">
      <c r="B50" s="261"/>
      <c r="C50" s="193"/>
      <c r="D50" s="193"/>
      <c r="E50" s="193"/>
      <c r="F50" s="193"/>
      <c r="G50" s="193"/>
      <c r="H50" s="193"/>
      <c r="I50" s="193"/>
      <c r="J50" s="193"/>
      <c r="K50" s="193"/>
      <c r="L50" s="193"/>
      <c r="M50" s="193"/>
      <c r="N50" s="193"/>
      <c r="O50" s="193"/>
      <c r="P50" s="193"/>
      <c r="Q50" s="193"/>
      <c r="R50" s="193"/>
      <c r="S50" s="193"/>
      <c r="T50" s="207"/>
    </row>
    <row r="51" spans="2:20" x14ac:dyDescent="0.2">
      <c r="B51" s="261"/>
      <c r="T51" s="332"/>
    </row>
    <row r="52" spans="2:20" x14ac:dyDescent="0.2">
      <c r="B52" s="261"/>
      <c r="C52" s="194" t="s">
        <v>217</v>
      </c>
      <c r="D52" s="193"/>
      <c r="E52" s="193"/>
      <c r="F52" s="193"/>
      <c r="G52" s="193"/>
      <c r="H52" s="193"/>
      <c r="I52" s="193"/>
      <c r="J52" s="193"/>
      <c r="K52" s="193"/>
      <c r="L52" s="193"/>
      <c r="M52" s="193"/>
      <c r="N52" s="193"/>
      <c r="O52" s="193"/>
      <c r="P52" s="193"/>
      <c r="Q52" s="193"/>
      <c r="R52" s="193"/>
      <c r="S52" s="193"/>
      <c r="T52" s="207"/>
    </row>
    <row r="53" spans="2:20" x14ac:dyDescent="0.2">
      <c r="B53" s="261"/>
      <c r="C53" s="194"/>
      <c r="D53" s="193"/>
      <c r="E53" s="193"/>
      <c r="F53" s="193"/>
      <c r="G53" s="193"/>
      <c r="H53" s="193"/>
      <c r="I53" s="193"/>
      <c r="J53" s="193"/>
      <c r="K53" s="193"/>
      <c r="L53" s="193"/>
      <c r="M53" s="193"/>
      <c r="N53" s="193"/>
      <c r="O53" s="193"/>
      <c r="P53" s="193"/>
      <c r="Q53" s="193"/>
      <c r="R53" s="193"/>
      <c r="S53" s="193"/>
      <c r="T53" s="207"/>
    </row>
    <row r="54" spans="2:20" x14ac:dyDescent="0.2">
      <c r="B54" s="261"/>
      <c r="C54" s="459" t="s">
        <v>218</v>
      </c>
      <c r="D54" s="459"/>
      <c r="E54" s="459"/>
      <c r="F54" s="459"/>
      <c r="G54" s="459"/>
      <c r="H54" s="459"/>
      <c r="I54" s="459"/>
      <c r="J54" s="459"/>
      <c r="K54" s="459"/>
      <c r="L54" s="459"/>
      <c r="M54" s="459"/>
      <c r="N54" s="459"/>
      <c r="O54" s="459"/>
      <c r="P54" s="459"/>
      <c r="Q54" s="459"/>
      <c r="R54" s="459"/>
      <c r="S54" s="459"/>
      <c r="T54" s="207"/>
    </row>
    <row r="55" spans="2:20" x14ac:dyDescent="0.2">
      <c r="B55" s="261"/>
      <c r="C55" s="459"/>
      <c r="D55" s="459"/>
      <c r="E55" s="459"/>
      <c r="F55" s="459"/>
      <c r="G55" s="459"/>
      <c r="H55" s="459"/>
      <c r="I55" s="459"/>
      <c r="J55" s="459"/>
      <c r="K55" s="459"/>
      <c r="L55" s="459"/>
      <c r="M55" s="459"/>
      <c r="N55" s="459"/>
      <c r="O55" s="459"/>
      <c r="P55" s="459"/>
      <c r="Q55" s="459"/>
      <c r="R55" s="459"/>
      <c r="S55" s="459"/>
      <c r="T55" s="207"/>
    </row>
    <row r="56" spans="2:20" x14ac:dyDescent="0.2">
      <c r="B56" s="261"/>
      <c r="C56" s="215"/>
      <c r="D56" s="193"/>
      <c r="E56" s="193"/>
      <c r="F56" s="193"/>
      <c r="G56" s="193"/>
      <c r="H56" s="193"/>
      <c r="I56" s="193"/>
      <c r="J56" s="193"/>
      <c r="K56" s="193"/>
      <c r="L56" s="193"/>
      <c r="M56" s="193"/>
      <c r="N56" s="193"/>
      <c r="O56" s="193"/>
      <c r="P56" s="193"/>
      <c r="Q56" s="193"/>
      <c r="R56" s="193"/>
      <c r="S56" s="193"/>
      <c r="T56" s="207"/>
    </row>
    <row r="57" spans="2:20" ht="12.75" customHeight="1" x14ac:dyDescent="0.2">
      <c r="B57" s="206"/>
      <c r="C57" s="461" t="s">
        <v>224</v>
      </c>
      <c r="D57" s="461"/>
      <c r="E57" s="461"/>
      <c r="F57" s="461"/>
      <c r="G57" s="461"/>
      <c r="H57" s="461"/>
      <c r="I57" s="461"/>
      <c r="J57" s="461"/>
      <c r="K57" s="461"/>
      <c r="L57" s="461"/>
      <c r="M57" s="461"/>
      <c r="N57" s="461"/>
      <c r="O57" s="461"/>
      <c r="P57" s="461"/>
      <c r="Q57" s="461"/>
      <c r="R57" s="461"/>
      <c r="S57" s="461"/>
      <c r="T57" s="207"/>
    </row>
    <row r="58" spans="2:20" x14ac:dyDescent="0.2">
      <c r="B58" s="206"/>
      <c r="C58" s="461"/>
      <c r="D58" s="461"/>
      <c r="E58" s="461"/>
      <c r="F58" s="461"/>
      <c r="G58" s="461"/>
      <c r="H58" s="461"/>
      <c r="I58" s="461"/>
      <c r="J58" s="461"/>
      <c r="K58" s="461"/>
      <c r="L58" s="461"/>
      <c r="M58" s="461"/>
      <c r="N58" s="461"/>
      <c r="O58" s="461"/>
      <c r="P58" s="461"/>
      <c r="Q58" s="461"/>
      <c r="R58" s="461"/>
      <c r="S58" s="461"/>
      <c r="T58" s="207"/>
    </row>
    <row r="59" spans="2:20" x14ac:dyDescent="0.2">
      <c r="B59" s="206"/>
      <c r="C59" s="461"/>
      <c r="D59" s="461"/>
      <c r="E59" s="461"/>
      <c r="F59" s="461"/>
      <c r="G59" s="461"/>
      <c r="H59" s="461"/>
      <c r="I59" s="461"/>
      <c r="J59" s="461"/>
      <c r="K59" s="461"/>
      <c r="L59" s="461"/>
      <c r="M59" s="461"/>
      <c r="N59" s="461"/>
      <c r="O59" s="461"/>
      <c r="P59" s="461"/>
      <c r="Q59" s="461"/>
      <c r="R59" s="461"/>
      <c r="S59" s="461"/>
      <c r="T59" s="207"/>
    </row>
    <row r="60" spans="2:20" ht="13.5" thickBot="1" x14ac:dyDescent="0.25">
      <c r="B60" s="230"/>
      <c r="C60" s="231"/>
      <c r="D60" s="231"/>
      <c r="E60" s="231"/>
      <c r="F60" s="231"/>
      <c r="G60" s="231"/>
      <c r="H60" s="231"/>
      <c r="I60" s="231"/>
      <c r="J60" s="231"/>
      <c r="K60" s="231"/>
      <c r="L60" s="231"/>
      <c r="M60" s="231"/>
      <c r="N60" s="231"/>
      <c r="O60" s="231"/>
      <c r="P60" s="231"/>
      <c r="Q60" s="231"/>
      <c r="R60" s="231"/>
      <c r="S60" s="231"/>
      <c r="T60" s="238"/>
    </row>
  </sheetData>
  <mergeCells count="8">
    <mergeCell ref="C57:S59"/>
    <mergeCell ref="B2:T2"/>
    <mergeCell ref="C10:S10"/>
    <mergeCell ref="C7:S8"/>
    <mergeCell ref="C14:S15"/>
    <mergeCell ref="C54:S55"/>
    <mergeCell ref="C12:S12"/>
    <mergeCell ref="C4:S5"/>
  </mergeCells>
  <phoneticPr fontId="16"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C6E5-38EE-4A28-9242-1AAF86A49FA9}">
  <dimension ref="A1"/>
  <sheetViews>
    <sheetView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37"/>
  <sheetViews>
    <sheetView tabSelected="1" zoomScale="80" zoomScaleNormal="80" workbookViewId="0">
      <selection activeCell="K15" sqref="K15"/>
    </sheetView>
  </sheetViews>
  <sheetFormatPr defaultColWidth="9.140625" defaultRowHeight="12.75" x14ac:dyDescent="0.2"/>
  <cols>
    <col min="1" max="1" width="1" style="191" customWidth="1"/>
    <col min="2" max="8" width="7.5703125" style="191" customWidth="1"/>
    <col min="9" max="9" width="17" style="191" customWidth="1"/>
    <col min="10" max="10" width="2.5703125" style="191" customWidth="1"/>
    <col min="11" max="11" width="9.42578125" style="191" customWidth="1"/>
    <col min="12" max="20" width="8.7109375" style="191" customWidth="1"/>
    <col min="21" max="21" width="1.28515625" style="191" customWidth="1"/>
    <col min="22" max="16384" width="9.140625" style="191"/>
  </cols>
  <sheetData>
    <row r="1" spans="2:21" ht="6.75" customHeight="1" thickBot="1" x14ac:dyDescent="0.25"/>
    <row r="2" spans="2:21" ht="16.5" thickBot="1" x14ac:dyDescent="0.3">
      <c r="B2" s="394" t="s">
        <v>67</v>
      </c>
      <c r="C2" s="395"/>
      <c r="D2" s="395"/>
      <c r="E2" s="395"/>
      <c r="F2" s="395"/>
      <c r="G2" s="395"/>
      <c r="H2" s="395"/>
      <c r="I2" s="395"/>
      <c r="J2" s="395"/>
      <c r="K2" s="395"/>
      <c r="L2" s="395"/>
      <c r="M2" s="395"/>
      <c r="N2" s="395"/>
      <c r="O2" s="395"/>
      <c r="P2" s="395"/>
      <c r="Q2" s="395"/>
      <c r="R2" s="395"/>
      <c r="S2" s="395"/>
      <c r="T2" s="395"/>
      <c r="U2" s="396"/>
    </row>
    <row r="3" spans="2:21" x14ac:dyDescent="0.2">
      <c r="B3" s="203"/>
      <c r="C3" s="204"/>
      <c r="D3" s="204"/>
      <c r="E3" s="204"/>
      <c r="F3" s="204"/>
      <c r="G3" s="204"/>
      <c r="H3" s="204"/>
      <c r="I3" s="204"/>
      <c r="J3" s="204"/>
      <c r="K3" s="204"/>
      <c r="L3" s="204"/>
      <c r="M3" s="204"/>
      <c r="N3" s="204"/>
      <c r="O3" s="204"/>
      <c r="P3" s="204"/>
      <c r="Q3" s="204"/>
      <c r="R3" s="204"/>
      <c r="S3" s="204"/>
      <c r="T3" s="204"/>
      <c r="U3" s="205"/>
    </row>
    <row r="4" spans="2:21" x14ac:dyDescent="0.2">
      <c r="B4" s="206" t="s">
        <v>56</v>
      </c>
      <c r="C4" s="193"/>
      <c r="D4" s="193"/>
      <c r="E4" s="193"/>
      <c r="F4" s="193"/>
      <c r="G4" s="193"/>
      <c r="H4" s="193"/>
      <c r="I4" s="193"/>
      <c r="J4" s="193"/>
      <c r="K4" s="193"/>
      <c r="L4" s="193"/>
      <c r="M4" s="193"/>
      <c r="N4" s="193"/>
      <c r="O4" s="193"/>
      <c r="P4" s="193"/>
      <c r="Q4" s="193"/>
      <c r="R4" s="193"/>
      <c r="S4" s="193"/>
      <c r="T4" s="193"/>
      <c r="U4" s="207"/>
    </row>
    <row r="5" spans="2:21" ht="25.5" customHeight="1" x14ac:dyDescent="0.2">
      <c r="B5" s="397" t="s">
        <v>242</v>
      </c>
      <c r="C5" s="401"/>
      <c r="D5" s="401"/>
      <c r="E5" s="401"/>
      <c r="F5" s="401"/>
      <c r="G5" s="401"/>
      <c r="H5" s="401"/>
      <c r="I5" s="401"/>
      <c r="J5" s="401"/>
      <c r="K5" s="401"/>
      <c r="L5" s="401"/>
      <c r="M5" s="401"/>
      <c r="N5" s="401"/>
      <c r="O5" s="401"/>
      <c r="P5" s="401"/>
      <c r="Q5" s="401"/>
      <c r="R5" s="401"/>
      <c r="S5" s="401"/>
      <c r="T5" s="401"/>
      <c r="U5" s="402"/>
    </row>
    <row r="6" spans="2:21" x14ac:dyDescent="0.2">
      <c r="B6" s="397" t="s">
        <v>243</v>
      </c>
      <c r="C6" s="398"/>
      <c r="D6" s="398"/>
      <c r="E6" s="398"/>
      <c r="F6" s="398"/>
      <c r="G6" s="398"/>
      <c r="H6" s="398"/>
      <c r="I6" s="398"/>
      <c r="J6" s="398"/>
      <c r="K6" s="398"/>
      <c r="L6" s="398"/>
      <c r="M6" s="398"/>
      <c r="N6" s="398"/>
      <c r="O6" s="398"/>
      <c r="P6" s="398"/>
      <c r="Q6" s="398"/>
      <c r="R6" s="398"/>
      <c r="S6" s="398"/>
      <c r="T6" s="398"/>
      <c r="U6" s="399"/>
    </row>
    <row r="7" spans="2:21" ht="25.5" customHeight="1" x14ac:dyDescent="0.2">
      <c r="B7" s="400" t="s">
        <v>265</v>
      </c>
      <c r="C7" s="398"/>
      <c r="D7" s="398"/>
      <c r="E7" s="398"/>
      <c r="F7" s="398"/>
      <c r="G7" s="398"/>
      <c r="H7" s="398"/>
      <c r="I7" s="398"/>
      <c r="J7" s="398"/>
      <c r="K7" s="398"/>
      <c r="L7" s="398"/>
      <c r="M7" s="398"/>
      <c r="N7" s="398"/>
      <c r="O7" s="398"/>
      <c r="P7" s="398"/>
      <c r="Q7" s="398"/>
      <c r="R7" s="398"/>
      <c r="S7" s="398"/>
      <c r="T7" s="398"/>
      <c r="U7" s="399"/>
    </row>
    <row r="8" spans="2:21" ht="12.75" customHeight="1" thickBot="1" x14ac:dyDescent="0.25">
      <c r="B8" s="208"/>
      <c r="C8" s="209"/>
      <c r="D8" s="209"/>
      <c r="E8" s="209"/>
      <c r="F8" s="209"/>
      <c r="G8" s="209"/>
      <c r="H8" s="209"/>
      <c r="I8" s="209"/>
      <c r="J8" s="209"/>
      <c r="K8" s="209"/>
      <c r="L8" s="209"/>
      <c r="M8" s="209"/>
      <c r="N8" s="209"/>
      <c r="O8" s="209"/>
      <c r="P8" s="209"/>
      <c r="Q8" s="209"/>
      <c r="R8" s="209"/>
      <c r="S8" s="209"/>
      <c r="T8" s="209"/>
      <c r="U8" s="210"/>
    </row>
    <row r="9" spans="2:21" ht="16.5" customHeight="1" thickBot="1" x14ac:dyDescent="0.25">
      <c r="B9" s="351" t="s">
        <v>223</v>
      </c>
      <c r="C9" s="201"/>
      <c r="D9" s="201"/>
      <c r="E9" s="201"/>
      <c r="F9" s="201"/>
      <c r="G9" s="201"/>
      <c r="H9" s="201"/>
      <c r="I9" s="201"/>
      <c r="J9" s="201"/>
      <c r="K9" s="201"/>
      <c r="L9" s="201"/>
      <c r="M9" s="201"/>
      <c r="N9" s="201"/>
      <c r="O9" s="201"/>
      <c r="P9" s="201"/>
      <c r="Q9" s="201"/>
      <c r="R9" s="201"/>
      <c r="S9" s="201"/>
      <c r="T9" s="201"/>
      <c r="U9" s="202"/>
    </row>
    <row r="10" spans="2:21" x14ac:dyDescent="0.2">
      <c r="B10" s="206"/>
      <c r="C10" s="193"/>
      <c r="D10" s="193"/>
      <c r="E10" s="193"/>
      <c r="F10" s="193"/>
      <c r="G10" s="193"/>
      <c r="H10" s="193"/>
      <c r="I10" s="193"/>
      <c r="J10" s="193"/>
      <c r="K10" s="212"/>
      <c r="L10" s="213" t="s">
        <v>118</v>
      </c>
      <c r="M10" s="213" t="s">
        <v>119</v>
      </c>
      <c r="N10" s="213" t="s">
        <v>120</v>
      </c>
      <c r="O10" s="213" t="s">
        <v>121</v>
      </c>
      <c r="P10" s="213" t="s">
        <v>122</v>
      </c>
      <c r="Q10" s="213" t="s">
        <v>123</v>
      </c>
      <c r="R10" s="213" t="s">
        <v>124</v>
      </c>
      <c r="S10" s="213" t="s">
        <v>125</v>
      </c>
      <c r="T10" s="213" t="s">
        <v>126</v>
      </c>
      <c r="U10" s="207"/>
    </row>
    <row r="11" spans="2:21" ht="23.25" customHeight="1" x14ac:dyDescent="0.2">
      <c r="B11" s="233"/>
      <c r="C11" s="403" t="s">
        <v>37</v>
      </c>
      <c r="D11" s="403"/>
      <c r="E11" s="403"/>
      <c r="F11" s="403"/>
      <c r="G11" s="403"/>
      <c r="H11" s="403"/>
      <c r="I11" s="404"/>
      <c r="J11" s="193"/>
      <c r="K11" s="186" t="s">
        <v>132</v>
      </c>
      <c r="L11" s="186"/>
      <c r="M11" s="186"/>
      <c r="N11" s="186"/>
      <c r="O11" s="186"/>
      <c r="P11" s="186"/>
      <c r="Q11" s="186"/>
      <c r="R11" s="186"/>
      <c r="S11" s="186"/>
      <c r="T11" s="186"/>
      <c r="U11" s="123"/>
    </row>
    <row r="12" spans="2:21" s="239" customFormat="1" ht="14.25" customHeight="1" x14ac:dyDescent="0.2">
      <c r="B12" s="233"/>
      <c r="C12" s="405" t="s">
        <v>38</v>
      </c>
      <c r="D12" s="405"/>
      <c r="E12" s="405"/>
      <c r="F12" s="405"/>
      <c r="G12" s="405"/>
      <c r="H12" s="405"/>
      <c r="I12" s="406"/>
      <c r="J12" s="215"/>
      <c r="K12" s="151">
        <v>0.5</v>
      </c>
      <c r="L12" s="138"/>
      <c r="M12" s="138"/>
      <c r="N12" s="138"/>
      <c r="O12" s="138"/>
      <c r="P12" s="138"/>
      <c r="Q12" s="138"/>
      <c r="R12" s="138"/>
      <c r="S12" s="138"/>
      <c r="T12" s="151"/>
      <c r="U12" s="105"/>
    </row>
    <row r="13" spans="2:21" s="239" customFormat="1" x14ac:dyDescent="0.2">
      <c r="B13" s="410" t="s">
        <v>150</v>
      </c>
      <c r="C13" s="411"/>
      <c r="D13" s="411"/>
      <c r="E13" s="411"/>
      <c r="F13" s="411"/>
      <c r="G13" s="411"/>
      <c r="H13" s="411"/>
      <c r="I13" s="412"/>
      <c r="J13" s="215"/>
      <c r="K13" s="187" t="s">
        <v>263</v>
      </c>
      <c r="L13" s="187"/>
      <c r="M13" s="187"/>
      <c r="N13" s="187"/>
      <c r="O13" s="187"/>
      <c r="P13" s="187"/>
      <c r="Q13" s="187"/>
      <c r="R13" s="187"/>
      <c r="S13" s="187"/>
      <c r="T13" s="187"/>
      <c r="U13" s="234"/>
    </row>
    <row r="14" spans="2:21" s="239" customFormat="1" x14ac:dyDescent="0.2">
      <c r="B14" s="359"/>
      <c r="C14" s="407" t="s">
        <v>257</v>
      </c>
      <c r="D14" s="408"/>
      <c r="E14" s="408"/>
      <c r="F14" s="408"/>
      <c r="G14" s="408"/>
      <c r="H14" s="408"/>
      <c r="I14" s="409"/>
      <c r="J14" s="215"/>
      <c r="K14" s="187" t="s">
        <v>253</v>
      </c>
      <c r="L14" s="187"/>
      <c r="M14" s="187"/>
      <c r="N14" s="187"/>
      <c r="O14" s="187"/>
      <c r="P14" s="187"/>
      <c r="Q14" s="187"/>
      <c r="R14" s="187"/>
      <c r="S14" s="187"/>
      <c r="T14" s="187"/>
      <c r="U14" s="234"/>
    </row>
    <row r="15" spans="2:21" s="239" customFormat="1" x14ac:dyDescent="0.2">
      <c r="B15" s="413" t="s">
        <v>256</v>
      </c>
      <c r="C15" s="414"/>
      <c r="D15" s="414"/>
      <c r="E15" s="414"/>
      <c r="F15" s="414"/>
      <c r="G15" s="414"/>
      <c r="H15" s="414"/>
      <c r="I15" s="415"/>
      <c r="J15" s="215"/>
      <c r="K15" s="187" t="s">
        <v>250</v>
      </c>
      <c r="L15" s="187"/>
      <c r="M15" s="187"/>
      <c r="N15" s="187"/>
      <c r="O15" s="187"/>
      <c r="P15" s="187"/>
      <c r="Q15" s="187"/>
      <c r="R15" s="187"/>
      <c r="S15" s="187"/>
      <c r="T15" s="187"/>
      <c r="U15" s="234"/>
    </row>
    <row r="16" spans="2:21" s="239" customFormat="1" x14ac:dyDescent="0.2">
      <c r="B16" s="413" t="s">
        <v>258</v>
      </c>
      <c r="C16" s="414"/>
      <c r="D16" s="414"/>
      <c r="E16" s="414"/>
      <c r="F16" s="414"/>
      <c r="G16" s="414"/>
      <c r="H16" s="414"/>
      <c r="I16" s="415"/>
      <c r="J16" s="215"/>
      <c r="K16" s="187">
        <v>50</v>
      </c>
      <c r="L16" s="187"/>
      <c r="M16" s="187"/>
      <c r="N16" s="187"/>
      <c r="O16" s="187"/>
      <c r="P16" s="187"/>
      <c r="Q16" s="187"/>
      <c r="R16" s="187"/>
      <c r="S16" s="187"/>
      <c r="T16" s="187"/>
      <c r="U16" s="234"/>
    </row>
    <row r="17" spans="2:21" s="239" customFormat="1" ht="12.75" customHeight="1" x14ac:dyDescent="0.2">
      <c r="B17" s="233"/>
      <c r="C17" s="417" t="s">
        <v>262</v>
      </c>
      <c r="D17" s="418"/>
      <c r="E17" s="418"/>
      <c r="F17" s="418"/>
      <c r="G17" s="418"/>
      <c r="H17" s="418"/>
      <c r="I17" s="419"/>
      <c r="J17" s="215"/>
      <c r="K17" s="187">
        <v>30</v>
      </c>
      <c r="L17" s="187"/>
      <c r="M17" s="187"/>
      <c r="N17" s="187"/>
      <c r="O17" s="187"/>
      <c r="P17" s="187"/>
      <c r="Q17" s="187"/>
      <c r="R17" s="187"/>
      <c r="S17" s="187"/>
      <c r="T17" s="187"/>
      <c r="U17" s="234"/>
    </row>
    <row r="18" spans="2:21" s="239" customFormat="1" ht="12.75" customHeight="1" x14ac:dyDescent="0.2">
      <c r="B18" s="233"/>
      <c r="C18" s="416" t="s">
        <v>259</v>
      </c>
      <c r="D18" s="405"/>
      <c r="E18" s="405"/>
      <c r="F18" s="405"/>
      <c r="G18" s="405"/>
      <c r="H18" s="405"/>
      <c r="I18" s="406"/>
      <c r="J18" s="215"/>
      <c r="K18" s="188">
        <v>1</v>
      </c>
      <c r="L18" s="188"/>
      <c r="M18" s="188"/>
      <c r="N18" s="188"/>
      <c r="O18" s="188"/>
      <c r="P18" s="188"/>
      <c r="Q18" s="188"/>
      <c r="R18" s="188"/>
      <c r="S18" s="188"/>
      <c r="T18" s="188"/>
      <c r="U18" s="234"/>
    </row>
    <row r="19" spans="2:21" s="239" customFormat="1" ht="12.75" customHeight="1" x14ac:dyDescent="0.2">
      <c r="B19" s="235"/>
      <c r="C19" s="407" t="s">
        <v>260</v>
      </c>
      <c r="D19" s="408"/>
      <c r="E19" s="408"/>
      <c r="F19" s="408"/>
      <c r="G19" s="408"/>
      <c r="H19" s="408"/>
      <c r="I19" s="409"/>
      <c r="J19" s="215"/>
      <c r="K19" s="187">
        <v>24</v>
      </c>
      <c r="L19" s="187"/>
      <c r="M19" s="187"/>
      <c r="N19" s="187"/>
      <c r="O19" s="187"/>
      <c r="P19" s="187"/>
      <c r="Q19" s="187"/>
      <c r="R19" s="187"/>
      <c r="S19" s="187"/>
      <c r="T19" s="187"/>
      <c r="U19" s="234"/>
    </row>
    <row r="20" spans="2:21" s="239" customFormat="1" ht="12.75" customHeight="1" x14ac:dyDescent="0.2">
      <c r="B20" s="233"/>
      <c r="C20" s="416" t="s">
        <v>261</v>
      </c>
      <c r="D20" s="405"/>
      <c r="E20" s="405"/>
      <c r="F20" s="405"/>
      <c r="G20" s="405"/>
      <c r="H20" s="405"/>
      <c r="I20" s="406"/>
      <c r="J20" s="215"/>
      <c r="K20" s="188" t="s">
        <v>131</v>
      </c>
      <c r="L20" s="188"/>
      <c r="M20" s="188"/>
      <c r="N20" s="188"/>
      <c r="O20" s="188"/>
      <c r="P20" s="188"/>
      <c r="Q20" s="188"/>
      <c r="R20" s="188"/>
      <c r="S20" s="188"/>
      <c r="T20" s="188"/>
      <c r="U20" s="234"/>
    </row>
    <row r="21" spans="2:21" s="239" customFormat="1" ht="12.75" customHeight="1" x14ac:dyDescent="0.2">
      <c r="B21" s="392" t="s">
        <v>54</v>
      </c>
      <c r="C21" s="393"/>
      <c r="D21" s="393"/>
      <c r="E21" s="393"/>
      <c r="F21" s="393"/>
      <c r="G21" s="393"/>
      <c r="H21" s="393"/>
      <c r="I21" s="393"/>
      <c r="J21" s="215"/>
      <c r="K21" s="87">
        <f>IF(OR(K13="n",K14="y"),"",K19/K16)</f>
        <v>0.48</v>
      </c>
      <c r="L21" s="87" t="e">
        <f t="shared" ref="L21:T21" si="0">IF(OR(L13="n",L14="y"),"",L19/L16)</f>
        <v>#DIV/0!</v>
      </c>
      <c r="M21" s="87" t="e">
        <f t="shared" si="0"/>
        <v>#DIV/0!</v>
      </c>
      <c r="N21" s="87" t="e">
        <f t="shared" si="0"/>
        <v>#DIV/0!</v>
      </c>
      <c r="O21" s="87" t="e">
        <f t="shared" si="0"/>
        <v>#DIV/0!</v>
      </c>
      <c r="P21" s="87" t="e">
        <f t="shared" si="0"/>
        <v>#DIV/0!</v>
      </c>
      <c r="Q21" s="87" t="e">
        <f t="shared" si="0"/>
        <v>#DIV/0!</v>
      </c>
      <c r="R21" s="87" t="e">
        <f t="shared" si="0"/>
        <v>#DIV/0!</v>
      </c>
      <c r="S21" s="87" t="e">
        <f t="shared" si="0"/>
        <v>#DIV/0!</v>
      </c>
      <c r="T21" s="87" t="e">
        <f t="shared" si="0"/>
        <v>#DIV/0!</v>
      </c>
      <c r="U21" s="234"/>
    </row>
    <row r="22" spans="2:21" s="239" customFormat="1" ht="14.25" customHeight="1" x14ac:dyDescent="0.2">
      <c r="B22" s="214"/>
      <c r="C22" s="215"/>
      <c r="D22" s="215"/>
      <c r="E22" s="215"/>
      <c r="F22" s="215"/>
      <c r="G22" s="215"/>
      <c r="H22" s="215"/>
      <c r="I22" s="215"/>
      <c r="J22" s="215"/>
      <c r="K22" s="215"/>
      <c r="L22" s="215"/>
      <c r="M22" s="215"/>
      <c r="N22" s="215"/>
      <c r="O22" s="215"/>
      <c r="P22" s="215"/>
      <c r="Q22" s="215"/>
      <c r="R22" s="215"/>
      <c r="S22" s="215"/>
      <c r="T22" s="215"/>
      <c r="U22" s="234"/>
    </row>
    <row r="23" spans="2:21" s="239" customFormat="1" ht="14.25" hidden="1" customHeight="1" x14ac:dyDescent="0.2">
      <c r="B23" s="216" t="s">
        <v>76</v>
      </c>
      <c r="C23" s="215"/>
      <c r="D23" s="215"/>
      <c r="E23" s="215"/>
      <c r="F23" s="215"/>
      <c r="G23" s="217"/>
      <c r="H23" s="215"/>
      <c r="I23" s="215"/>
      <c r="J23" s="215"/>
      <c r="K23" s="218"/>
      <c r="L23" s="218"/>
      <c r="M23" s="218"/>
      <c r="N23" s="218"/>
      <c r="O23" s="218"/>
      <c r="P23" s="218"/>
      <c r="Q23" s="218"/>
      <c r="R23" s="218"/>
      <c r="S23" s="218"/>
      <c r="T23" s="218"/>
      <c r="U23" s="234"/>
    </row>
    <row r="24" spans="2:21" s="239" customFormat="1" ht="14.25" hidden="1" customHeight="1" x14ac:dyDescent="0.2">
      <c r="B24" s="266" t="s">
        <v>254</v>
      </c>
      <c r="C24" s="215"/>
      <c r="D24" s="215"/>
      <c r="E24" s="215"/>
      <c r="F24" s="215"/>
      <c r="G24" s="215"/>
      <c r="H24" s="215"/>
      <c r="I24" s="217"/>
      <c r="J24" s="215"/>
      <c r="K24" s="219" t="str">
        <f>IF(AND(K20="fd",(OR(K13="c", K13="h",K13="r",K14="y"))),"yes","no")</f>
        <v>yes</v>
      </c>
      <c r="L24" s="219" t="str">
        <f t="shared" ref="L24:R24" si="1">IF(AND(L20="fd",(OR(L13="c", L13="h",L13="r",L14="y"))),"yes","no")</f>
        <v>no</v>
      </c>
      <c r="M24" s="219" t="str">
        <f t="shared" si="1"/>
        <v>no</v>
      </c>
      <c r="N24" s="219" t="str">
        <f t="shared" si="1"/>
        <v>no</v>
      </c>
      <c r="O24" s="219" t="str">
        <f t="shared" si="1"/>
        <v>no</v>
      </c>
      <c r="P24" s="219" t="str">
        <f t="shared" si="1"/>
        <v>no</v>
      </c>
      <c r="Q24" s="219" t="str">
        <f t="shared" si="1"/>
        <v>no</v>
      </c>
      <c r="R24" s="219" t="str">
        <f t="shared" si="1"/>
        <v>no</v>
      </c>
      <c r="S24" s="84" t="str">
        <f>IF(AND(S20="fd",(OR(S13="c", S13="h",S13="r",S14="y"))),"yes","no")</f>
        <v>no</v>
      </c>
      <c r="T24" s="84" t="str">
        <f>IF(AND(T20="fd",(OR(T13="c", T13="h",T13="r",T14="y"))),"yes","no")</f>
        <v>no</v>
      </c>
      <c r="U24" s="234"/>
    </row>
    <row r="25" spans="2:21" s="239" customFormat="1" ht="14.25" hidden="1" customHeight="1" x14ac:dyDescent="0.2">
      <c r="B25" s="266" t="s">
        <v>255</v>
      </c>
      <c r="C25" s="215"/>
      <c r="D25" s="215"/>
      <c r="E25" s="215"/>
      <c r="F25" s="215"/>
      <c r="G25" s="215"/>
      <c r="H25" s="215"/>
      <c r="I25" s="217"/>
      <c r="J25" s="215"/>
      <c r="K25" s="219" t="str">
        <f>IF(AND(K13="n",K15="y"),"yes",IF(K20="fd","yes","no"))</f>
        <v>yes</v>
      </c>
      <c r="L25" s="219" t="str">
        <f t="shared" ref="L25:R25" si="2">IF(AND(L13="n",L15="y"),"yes",IF(L20="fd","yes","no"))</f>
        <v>no</v>
      </c>
      <c r="M25" s="219" t="str">
        <f t="shared" si="2"/>
        <v>no</v>
      </c>
      <c r="N25" s="219" t="str">
        <f t="shared" si="2"/>
        <v>no</v>
      </c>
      <c r="O25" s="219" t="str">
        <f t="shared" si="2"/>
        <v>no</v>
      </c>
      <c r="P25" s="219" t="str">
        <f t="shared" si="2"/>
        <v>no</v>
      </c>
      <c r="Q25" s="219" t="str">
        <f t="shared" si="2"/>
        <v>no</v>
      </c>
      <c r="R25" s="219" t="str">
        <f t="shared" si="2"/>
        <v>no</v>
      </c>
      <c r="S25" s="84" t="str">
        <f>IF(AND(S13="n",S15="y"),"yes",IF(S20="fd","yes","no"))</f>
        <v>no</v>
      </c>
      <c r="T25" s="84" t="str">
        <f>IF(AND(T13="n",T15="y"),"yes",IF(T20="fd","yes","no"))</f>
        <v>no</v>
      </c>
      <c r="U25" s="234"/>
    </row>
    <row r="26" spans="2:21" s="239" customFormat="1" ht="14.25" customHeight="1" thickBot="1" x14ac:dyDescent="0.25">
      <c r="B26" s="220"/>
      <c r="C26" s="221"/>
      <c r="D26" s="221"/>
      <c r="E26" s="222"/>
      <c r="F26" s="221"/>
      <c r="G26" s="223"/>
      <c r="H26" s="223"/>
      <c r="I26" s="223"/>
      <c r="J26" s="223"/>
      <c r="K26" s="221"/>
      <c r="L26" s="221"/>
      <c r="M26" s="221"/>
      <c r="N26" s="221"/>
      <c r="O26" s="221"/>
      <c r="P26" s="221"/>
      <c r="Q26" s="221"/>
      <c r="R26" s="221"/>
      <c r="S26" s="221"/>
      <c r="T26" s="221"/>
      <c r="U26" s="236"/>
    </row>
    <row r="27" spans="2:21" s="239" customFormat="1" ht="16.5" customHeight="1" thickBot="1" x14ac:dyDescent="0.25">
      <c r="B27" s="351" t="s">
        <v>151</v>
      </c>
      <c r="C27" s="347"/>
      <c r="D27" s="347"/>
      <c r="E27" s="348"/>
      <c r="F27" s="347"/>
      <c r="G27" s="349"/>
      <c r="H27" s="349"/>
      <c r="I27" s="349"/>
      <c r="J27" s="349"/>
      <c r="K27" s="347"/>
      <c r="L27" s="347"/>
      <c r="M27" s="347"/>
      <c r="N27" s="347"/>
      <c r="O27" s="347"/>
      <c r="P27" s="347"/>
      <c r="Q27" s="347"/>
      <c r="R27" s="347"/>
      <c r="S27" s="347"/>
      <c r="T27" s="347"/>
      <c r="U27" s="350"/>
    </row>
    <row r="28" spans="2:21" s="239" customFormat="1" ht="12.75" customHeight="1" x14ac:dyDescent="0.2">
      <c r="B28" s="224"/>
      <c r="C28" s="225"/>
      <c r="D28" s="226" t="s">
        <v>154</v>
      </c>
      <c r="E28" s="225"/>
      <c r="F28" s="225"/>
      <c r="G28" s="225"/>
      <c r="H28" s="225"/>
      <c r="I28" s="225"/>
      <c r="J28" s="225"/>
      <c r="K28" s="225"/>
      <c r="L28" s="225"/>
      <c r="M28" s="225"/>
      <c r="N28" s="225"/>
      <c r="O28" s="225"/>
      <c r="P28" s="225"/>
      <c r="Q28" s="225"/>
      <c r="R28" s="225"/>
      <c r="S28" s="225"/>
      <c r="T28" s="225"/>
      <c r="U28" s="237"/>
    </row>
    <row r="29" spans="2:21" s="239" customFormat="1" ht="12.75" customHeight="1" x14ac:dyDescent="0.2">
      <c r="B29" s="224"/>
      <c r="C29" s="225"/>
      <c r="D29" s="226"/>
      <c r="E29" s="225"/>
      <c r="F29" s="225"/>
      <c r="G29" s="225"/>
      <c r="H29" s="225"/>
      <c r="I29" s="225"/>
      <c r="J29" s="225"/>
      <c r="K29" s="225"/>
      <c r="L29" s="225"/>
      <c r="M29" s="225"/>
      <c r="N29" s="225"/>
      <c r="O29" s="225"/>
      <c r="P29" s="225"/>
      <c r="Q29" s="225"/>
      <c r="R29" s="225"/>
      <c r="S29" s="225"/>
      <c r="T29" s="225"/>
      <c r="U29" s="237"/>
    </row>
    <row r="30" spans="2:21" s="239" customFormat="1" ht="14.25" customHeight="1" x14ac:dyDescent="0.2">
      <c r="B30" s="214"/>
      <c r="C30" s="215"/>
      <c r="D30" s="215"/>
      <c r="E30" s="215"/>
      <c r="F30" s="215"/>
      <c r="G30" s="215"/>
      <c r="H30" s="215"/>
      <c r="I30" s="227" t="s">
        <v>153</v>
      </c>
      <c r="J30" s="215"/>
      <c r="K30" s="228">
        <f>IF(K24="yes",Example!E79,"")</f>
        <v>4.603952523332218</v>
      </c>
      <c r="L30" s="228" t="str">
        <f>IF(L24="yes",'Tank#1'!E79,"")</f>
        <v/>
      </c>
      <c r="M30" s="228" t="str">
        <f>IF(M24="yes",'Tank#2'!E79,"")</f>
        <v/>
      </c>
      <c r="N30" s="228" t="str">
        <f>IF(N24="yes",'Tank#3'!E79,"")</f>
        <v/>
      </c>
      <c r="O30" s="228" t="str">
        <f>IF(O24="yes",'Tank#4'!E79,"")</f>
        <v/>
      </c>
      <c r="P30" s="228" t="str">
        <f>IF(P24="yes",'Tank#5'!E79,"")</f>
        <v/>
      </c>
      <c r="Q30" s="228" t="str">
        <f>IF(Q24="yes",'Tank#6'!E79,"")</f>
        <v/>
      </c>
      <c r="R30" s="228" t="str">
        <f>IF(R24="yes",'Tank#7'!E79,"")</f>
        <v/>
      </c>
      <c r="S30" s="88" t="str">
        <f>IF(S24="yes",'Tank#8'!E79,"")</f>
        <v/>
      </c>
      <c r="T30" s="88" t="str">
        <f>IF(T24="yes",'Tank#9'!E79,"")</f>
        <v/>
      </c>
      <c r="U30" s="234"/>
    </row>
    <row r="31" spans="2:21" s="239" customFormat="1" ht="14.25" customHeight="1" x14ac:dyDescent="0.2">
      <c r="B31" s="214"/>
      <c r="C31" s="215"/>
      <c r="D31" s="215"/>
      <c r="E31" s="215"/>
      <c r="F31" s="215"/>
      <c r="G31" s="215"/>
      <c r="H31" s="215"/>
      <c r="I31" s="217" t="s">
        <v>39</v>
      </c>
      <c r="J31" s="215"/>
      <c r="K31" s="229">
        <f>IF(K25="yes",Example!J75,"")</f>
        <v>0.37135748109988903</v>
      </c>
      <c r="L31" s="229" t="str">
        <f>IF(L25="yes",'Tank#1'!J75,"")</f>
        <v/>
      </c>
      <c r="M31" s="229" t="str">
        <f>IF(M25="yes",'Tank#2'!J75,"")</f>
        <v/>
      </c>
      <c r="N31" s="229" t="str">
        <f>IF(N25="yes",'Tank#3'!J75,"")</f>
        <v/>
      </c>
      <c r="O31" s="229" t="str">
        <f>IF(O25="yes",'Tank#4'!J75,"")</f>
        <v/>
      </c>
      <c r="P31" s="229" t="str">
        <f>IF(P25="yes",'Tank#5'!J75,"")</f>
        <v/>
      </c>
      <c r="Q31" s="229" t="str">
        <f>IF(Q25="yes",'Tank#6'!J75,"")</f>
        <v/>
      </c>
      <c r="R31" s="229" t="str">
        <f>IF(R25="yes",'Tank#7'!J75,"")</f>
        <v/>
      </c>
      <c r="S31" s="87" t="str">
        <f>IF(S25="yes",'Tank#8'!J75,"")</f>
        <v/>
      </c>
      <c r="T31" s="87" t="str">
        <f>IF(T25="yes",'Tank#9'!J75,"")</f>
        <v/>
      </c>
      <c r="U31" s="234"/>
    </row>
    <row r="32" spans="2:21" ht="13.5" thickBot="1" x14ac:dyDescent="0.25">
      <c r="B32" s="230"/>
      <c r="C32" s="231"/>
      <c r="D32" s="231"/>
      <c r="E32" s="231"/>
      <c r="F32" s="231"/>
      <c r="G32" s="231"/>
      <c r="H32" s="231"/>
      <c r="I32" s="231"/>
      <c r="J32" s="231"/>
      <c r="K32" s="231"/>
      <c r="L32" s="231"/>
      <c r="M32" s="231"/>
      <c r="N32" s="231"/>
      <c r="O32" s="231"/>
      <c r="P32" s="231"/>
      <c r="Q32" s="231"/>
      <c r="R32" s="231"/>
      <c r="S32" s="231"/>
      <c r="T32" s="231"/>
      <c r="U32" s="238"/>
    </row>
    <row r="33" spans="2:21" x14ac:dyDescent="0.2">
      <c r="B33" s="211" t="s">
        <v>55</v>
      </c>
      <c r="C33" s="204"/>
      <c r="D33" s="204"/>
      <c r="E33" s="204"/>
      <c r="F33" s="204"/>
      <c r="G33" s="204"/>
      <c r="H33" s="204"/>
      <c r="I33" s="204"/>
      <c r="J33" s="204"/>
      <c r="K33" s="204"/>
      <c r="L33" s="204"/>
      <c r="M33" s="204"/>
      <c r="N33" s="204"/>
      <c r="O33" s="204"/>
      <c r="P33" s="204"/>
      <c r="Q33" s="204"/>
      <c r="R33" s="204"/>
      <c r="S33" s="204"/>
      <c r="T33" s="204"/>
      <c r="U33" s="205"/>
    </row>
    <row r="34" spans="2:21" x14ac:dyDescent="0.2">
      <c r="B34" s="232" t="s">
        <v>207</v>
      </c>
      <c r="C34" s="193"/>
      <c r="D34" s="193"/>
      <c r="E34" s="193"/>
      <c r="F34" s="193"/>
      <c r="G34" s="193"/>
      <c r="H34" s="193"/>
      <c r="I34" s="193"/>
      <c r="J34" s="193"/>
      <c r="K34" s="193"/>
      <c r="L34" s="193"/>
      <c r="M34" s="193"/>
      <c r="N34" s="193"/>
      <c r="O34" s="193"/>
      <c r="P34" s="193"/>
      <c r="Q34" s="193"/>
      <c r="R34" s="193"/>
      <c r="S34" s="193"/>
      <c r="T34" s="193"/>
      <c r="U34" s="207"/>
    </row>
    <row r="35" spans="2:21" ht="26.25" customHeight="1" thickBot="1" x14ac:dyDescent="0.25">
      <c r="B35" s="390" t="s">
        <v>152</v>
      </c>
      <c r="C35" s="391"/>
      <c r="D35" s="391"/>
      <c r="E35" s="391"/>
      <c r="F35" s="391"/>
      <c r="G35" s="391"/>
      <c r="H35" s="391"/>
      <c r="I35" s="391"/>
      <c r="J35" s="391"/>
      <c r="K35" s="391"/>
      <c r="L35" s="391"/>
      <c r="M35" s="391"/>
      <c r="N35" s="391"/>
      <c r="O35" s="391"/>
      <c r="P35" s="391"/>
      <c r="Q35" s="391"/>
      <c r="R35" s="391"/>
      <c r="S35" s="358"/>
      <c r="T35" s="358"/>
      <c r="U35" s="360"/>
    </row>
    <row r="36" spans="2:21" ht="13.5" customHeight="1" x14ac:dyDescent="0.2"/>
    <row r="37" spans="2:21" ht="26.25" customHeight="1" x14ac:dyDescent="0.2"/>
  </sheetData>
  <mergeCells count="16">
    <mergeCell ref="B35:R35"/>
    <mergeCell ref="B21:I21"/>
    <mergeCell ref="B2:U2"/>
    <mergeCell ref="B6:U6"/>
    <mergeCell ref="B7:U7"/>
    <mergeCell ref="B5:U5"/>
    <mergeCell ref="C11:I11"/>
    <mergeCell ref="C12:I12"/>
    <mergeCell ref="C14:I14"/>
    <mergeCell ref="B13:I13"/>
    <mergeCell ref="B15:I15"/>
    <mergeCell ref="B16:I16"/>
    <mergeCell ref="C20:I20"/>
    <mergeCell ref="C17:I17"/>
    <mergeCell ref="C18:I18"/>
    <mergeCell ref="C19:I19"/>
  </mergeCells>
  <phoneticPr fontId="0" type="noConversion"/>
  <conditionalFormatting sqref="K30:T30">
    <cfRule type="cellIs" dxfId="83" priority="3" stopIfTrue="1" operator="greaterThan">
      <formula>5</formula>
    </cfRule>
    <cfRule type="cellIs" dxfId="82" priority="4" stopIfTrue="1" operator="lessThanOrEqual">
      <formula>5</formula>
    </cfRule>
  </conditionalFormatting>
  <conditionalFormatting sqref="K31:T31">
    <cfRule type="cellIs" dxfId="81" priority="1" stopIfTrue="1" operator="lessThan">
      <formula>1</formula>
    </cfRule>
    <cfRule type="cellIs" dxfId="80" priority="2" stopIfTrue="1" operator="greaterThanOrEqual">
      <formula>1</formula>
    </cfRule>
  </conditionalFormatting>
  <pageMargins left="0.75" right="0.75" top="1" bottom="1" header="0.5" footer="0.5"/>
  <pageSetup scale="65" fitToHeight="2" orientation="portrait" r:id="rId1"/>
  <headerFooter alignWithMargins="0"/>
  <rowBreaks count="1" manualBreakCount="1">
    <brk id="26" max="16383" man="1"/>
  </rowBreaks>
  <ignoredErrors>
    <ignoredError sqref="L21:T21" evalError="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41"/>
  <sheetViews>
    <sheetView showGridLines="0" topLeftCell="A37" zoomScale="80" zoomScaleNormal="80" workbookViewId="0">
      <selection activeCell="I77" sqref="I77:L80"/>
    </sheetView>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158</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65"/>
      <c r="C4" s="352"/>
      <c r="D4" s="101"/>
      <c r="E4" s="101"/>
      <c r="F4" s="101"/>
      <c r="G4" s="101"/>
      <c r="H4" s="101"/>
      <c r="I4" s="101"/>
      <c r="J4" s="101"/>
      <c r="K4" s="101"/>
      <c r="L4" s="101"/>
      <c r="M4" s="101"/>
      <c r="N4" s="101"/>
      <c r="O4" s="102"/>
    </row>
    <row r="5" spans="2:15" ht="15.95" customHeight="1" x14ac:dyDescent="0.2">
      <c r="B5" s="103"/>
      <c r="C5" s="168" t="s">
        <v>8</v>
      </c>
      <c r="D5" s="169" t="str">
        <f>'Tank Summary'!K11</f>
        <v>Example</v>
      </c>
      <c r="E5" s="104"/>
      <c r="F5" s="104"/>
      <c r="G5" s="8"/>
      <c r="H5" s="8"/>
      <c r="I5" s="8"/>
      <c r="J5" s="8"/>
      <c r="K5" s="8"/>
      <c r="L5" s="8"/>
      <c r="M5" s="8"/>
      <c r="N5" s="8"/>
      <c r="O5" s="105"/>
    </row>
    <row r="6" spans="2:15" ht="15.95" customHeight="1" x14ac:dyDescent="0.2">
      <c r="B6" s="103"/>
      <c r="C6" s="163" t="s">
        <v>114</v>
      </c>
      <c r="D6" s="170">
        <f>'Tank Summary'!K12</f>
        <v>0.5</v>
      </c>
      <c r="E6" s="104"/>
      <c r="F6" s="104"/>
      <c r="G6" s="8"/>
      <c r="H6" s="8"/>
      <c r="I6" s="8"/>
      <c r="J6" s="8"/>
      <c r="K6" s="8"/>
      <c r="L6" s="8"/>
      <c r="M6" s="8"/>
      <c r="N6" s="8"/>
      <c r="O6" s="105"/>
    </row>
    <row r="7" spans="2:15" ht="40.5" customHeight="1" x14ac:dyDescent="0.2">
      <c r="B7" s="103"/>
      <c r="C7" s="171" t="s">
        <v>77</v>
      </c>
      <c r="D7" s="95" t="str">
        <f>'Tank Summary'!K13</f>
        <v>r</v>
      </c>
      <c r="E7" s="166"/>
      <c r="F7" s="104"/>
      <c r="G7" s="167"/>
      <c r="H7" s="8"/>
      <c r="I7" s="8"/>
      <c r="J7" s="8"/>
      <c r="K7" s="8"/>
      <c r="L7" s="8"/>
      <c r="M7" s="8"/>
      <c r="N7" s="8"/>
      <c r="O7" s="105"/>
    </row>
    <row r="8" spans="2:15" ht="39.75" customHeight="1" x14ac:dyDescent="0.2">
      <c r="B8" s="103"/>
      <c r="C8" s="171" t="s">
        <v>80</v>
      </c>
      <c r="D8" s="172" t="str">
        <f>'Tank Summary'!K14</f>
        <v>n</v>
      </c>
      <c r="E8" s="166"/>
      <c r="F8" s="104"/>
      <c r="G8" s="167"/>
      <c r="H8" s="8"/>
      <c r="I8" s="8"/>
      <c r="J8" s="8"/>
      <c r="K8" s="8"/>
      <c r="L8" s="8"/>
      <c r="M8" s="8"/>
      <c r="N8" s="8"/>
      <c r="O8" s="105"/>
    </row>
    <row r="9" spans="2:15" ht="18" customHeight="1" x14ac:dyDescent="0.2">
      <c r="B9" s="103"/>
      <c r="C9" s="163" t="str">
        <f>IF(OR(D7="c",D7="r",D7="h"),"Maximum Water Depth, H:","")</f>
        <v>Maximum Water Depth, H:</v>
      </c>
      <c r="D9" s="173">
        <f>'Tank Summary'!K19</f>
        <v>24</v>
      </c>
      <c r="E9" s="104" t="str">
        <f>IF(OR(D7="c", D7="r",D7="h"),"ft","")</f>
        <v>ft</v>
      </c>
      <c r="F9" s="107"/>
      <c r="G9" s="8"/>
      <c r="H9" s="8"/>
      <c r="I9" s="8"/>
      <c r="J9" s="8"/>
      <c r="K9" s="8"/>
      <c r="L9" s="8"/>
      <c r="M9" s="8"/>
      <c r="N9" s="8"/>
      <c r="O9" s="105"/>
    </row>
    <row r="10" spans="2:15" ht="18" customHeight="1" x14ac:dyDescent="0.2">
      <c r="B10" s="103"/>
      <c r="C10" s="174" t="str">
        <f>IF(OR(D7="c", D7="h"), "Tank diameter, D:", IF(D7="r","Longest Sidewall Length, D:",""))</f>
        <v>Longest Sidewall Length, D:</v>
      </c>
      <c r="D10" s="173">
        <f>'Tank Summary'!K16</f>
        <v>50</v>
      </c>
      <c r="E10" s="104" t="str">
        <f>IF(OR(D7="c", D7="r",D7="h"),"ft","")</f>
        <v>ft</v>
      </c>
      <c r="F10" s="104"/>
      <c r="G10" s="167"/>
      <c r="H10" s="8"/>
      <c r="I10" s="8"/>
      <c r="J10" s="8"/>
      <c r="K10" s="8"/>
      <c r="L10" s="8"/>
      <c r="M10" s="8"/>
      <c r="N10" s="8"/>
      <c r="O10" s="105"/>
    </row>
    <row r="11" spans="2:15" ht="18" customHeight="1" x14ac:dyDescent="0.2">
      <c r="B11" s="103"/>
      <c r="C11" s="174" t="str">
        <f>IF(OR(D7="c", D7="h"),"",IF(D7="r","Shortest Sidewall Length, L:",""))</f>
        <v>Shortest Sidewall Length, L:</v>
      </c>
      <c r="D11" s="173">
        <f>'Tank Summary'!K17</f>
        <v>30</v>
      </c>
      <c r="E11" s="420" t="str">
        <f>IF(OR(D7="c", D7="h"),"",IF(D7="r","ft",IF(D8="y","","Spreadsheet is not set up for shapes other than cylindrical, hydropillar, &amp; rectangular unless SCADA reports tank volume!")))</f>
        <v>ft</v>
      </c>
      <c r="F11" s="421"/>
      <c r="G11" s="167"/>
      <c r="H11" s="8"/>
      <c r="I11" s="8"/>
      <c r="J11" s="8"/>
      <c r="K11" s="8"/>
      <c r="L11" s="8"/>
      <c r="M11" s="8"/>
      <c r="N11" s="8"/>
      <c r="O11" s="105"/>
    </row>
    <row r="12" spans="2:15" ht="18" customHeight="1" x14ac:dyDescent="0.2">
      <c r="B12" s="103"/>
      <c r="C12" s="168" t="str">
        <f>IF(OR(D7="c",D7="h"), "H/D ratio:", IF(D7="r","H/D ratio:",""))</f>
        <v>H/D ratio:</v>
      </c>
      <c r="D12" s="95">
        <f>'Tank Summary'!K21</f>
        <v>0.48</v>
      </c>
      <c r="E12" s="420"/>
      <c r="F12" s="421"/>
      <c r="G12" s="167"/>
      <c r="H12" s="8"/>
      <c r="I12" s="8"/>
      <c r="J12" s="8"/>
      <c r="K12" s="8"/>
      <c r="L12" s="8"/>
      <c r="M12" s="8"/>
      <c r="N12" s="8"/>
      <c r="O12" s="105"/>
    </row>
    <row r="13" spans="2:15" ht="18" customHeight="1" x14ac:dyDescent="0.2">
      <c r="B13" s="103"/>
      <c r="C13" s="168" t="s">
        <v>11</v>
      </c>
      <c r="D13" s="95">
        <f>'Tank Summary'!K18</f>
        <v>1</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v>41123</v>
      </c>
      <c r="D18" s="90">
        <v>0.79652777777777783</v>
      </c>
      <c r="E18" s="97"/>
      <c r="F18" s="97">
        <v>19</v>
      </c>
      <c r="G18" s="96">
        <f t="shared" ref="G18:G47" si="0">C18+D18</f>
        <v>41123.796527777777</v>
      </c>
      <c r="H18" s="12">
        <v>0</v>
      </c>
      <c r="I18" s="12">
        <f t="shared" ref="I18:I47" si="1">IF(G18,E18+F18,"")</f>
        <v>19</v>
      </c>
      <c r="J18" s="8">
        <v>1</v>
      </c>
      <c r="K18" s="8"/>
      <c r="L18" s="8"/>
      <c r="M18" s="8"/>
      <c r="N18" s="8"/>
      <c r="O18" s="105"/>
    </row>
    <row r="19" spans="2:15" x14ac:dyDescent="0.2">
      <c r="B19" s="103"/>
      <c r="C19" s="89">
        <v>41124</v>
      </c>
      <c r="D19" s="90">
        <v>6.2499999999999995E-3</v>
      </c>
      <c r="E19" s="97">
        <v>16.899999999999999</v>
      </c>
      <c r="F19" s="97"/>
      <c r="G19" s="96">
        <f t="shared" si="0"/>
        <v>41124.006249999999</v>
      </c>
      <c r="H19" s="11">
        <f t="shared" ref="H19:H47" si="2">IF(G19,G19-$G$18,"")</f>
        <v>0.20972222222189885</v>
      </c>
      <c r="I19" s="12">
        <f t="shared" si="1"/>
        <v>16.899999999999999</v>
      </c>
      <c r="J19" s="8"/>
      <c r="K19" s="8"/>
      <c r="L19" s="8"/>
      <c r="M19" s="8"/>
      <c r="N19" s="8"/>
      <c r="O19" s="105"/>
    </row>
    <row r="20" spans="2:15" x14ac:dyDescent="0.2">
      <c r="B20" s="103"/>
      <c r="C20" s="91">
        <v>41124</v>
      </c>
      <c r="D20" s="92">
        <v>0.21527777777777779</v>
      </c>
      <c r="E20" s="98"/>
      <c r="F20" s="98">
        <v>18.399999999999999</v>
      </c>
      <c r="G20" s="100">
        <f t="shared" si="0"/>
        <v>41124.215277777781</v>
      </c>
      <c r="H20" s="29">
        <f t="shared" si="2"/>
        <v>0.41875000000436557</v>
      </c>
      <c r="I20" s="28">
        <f t="shared" si="1"/>
        <v>18.399999999999999</v>
      </c>
      <c r="J20" s="8">
        <v>2</v>
      </c>
      <c r="K20" s="8"/>
      <c r="L20" s="8"/>
      <c r="M20" s="8"/>
      <c r="N20" s="8"/>
      <c r="O20" s="105"/>
    </row>
    <row r="21" spans="2:15" x14ac:dyDescent="0.2">
      <c r="B21" s="103"/>
      <c r="C21" s="91">
        <v>41124</v>
      </c>
      <c r="D21" s="92">
        <v>0.46597222222222223</v>
      </c>
      <c r="E21" s="98">
        <v>16.600000000000001</v>
      </c>
      <c r="F21" s="98"/>
      <c r="G21" s="100">
        <f t="shared" si="0"/>
        <v>41124.46597222222</v>
      </c>
      <c r="H21" s="29">
        <f t="shared" si="2"/>
        <v>0.66944444444379769</v>
      </c>
      <c r="I21" s="28">
        <f t="shared" si="1"/>
        <v>16.600000000000001</v>
      </c>
      <c r="J21" s="8"/>
      <c r="K21" s="8"/>
      <c r="L21" s="8"/>
      <c r="M21" s="8"/>
      <c r="N21" s="8"/>
      <c r="O21" s="105"/>
    </row>
    <row r="22" spans="2:15" x14ac:dyDescent="0.2">
      <c r="B22" s="103"/>
      <c r="C22" s="89">
        <v>41124</v>
      </c>
      <c r="D22" s="90">
        <v>0.75902777777777775</v>
      </c>
      <c r="E22" s="97"/>
      <c r="F22" s="97">
        <v>18.899999999999999</v>
      </c>
      <c r="G22" s="96">
        <f t="shared" si="0"/>
        <v>41124.759027777778</v>
      </c>
      <c r="H22" s="11">
        <f t="shared" si="2"/>
        <v>0.96250000000145519</v>
      </c>
      <c r="I22" s="12">
        <f t="shared" si="1"/>
        <v>18.899999999999999</v>
      </c>
      <c r="J22" s="8">
        <v>3</v>
      </c>
      <c r="K22" s="8"/>
      <c r="L22" s="8"/>
      <c r="M22" s="8"/>
      <c r="N22" s="8"/>
      <c r="O22" s="105"/>
    </row>
    <row r="23" spans="2:15" x14ac:dyDescent="0.2">
      <c r="B23" s="103"/>
      <c r="C23" s="89">
        <v>41124</v>
      </c>
      <c r="D23" s="90">
        <v>0.96805555555555556</v>
      </c>
      <c r="E23" s="97">
        <v>16.899999999999999</v>
      </c>
      <c r="F23" s="97"/>
      <c r="G23" s="96">
        <f t="shared" si="0"/>
        <v>41124.968055555553</v>
      </c>
      <c r="H23" s="11">
        <f t="shared" si="2"/>
        <v>1.171527777776646</v>
      </c>
      <c r="I23" s="12">
        <f t="shared" si="1"/>
        <v>16.899999999999999</v>
      </c>
      <c r="J23" s="8"/>
      <c r="K23" s="8"/>
      <c r="L23" s="8"/>
      <c r="M23" s="8"/>
      <c r="N23" s="8"/>
      <c r="O23" s="105"/>
    </row>
    <row r="24" spans="2:15" x14ac:dyDescent="0.2">
      <c r="B24" s="103"/>
      <c r="C24" s="91">
        <v>41125</v>
      </c>
      <c r="D24" s="92">
        <v>0.21944444444444444</v>
      </c>
      <c r="E24" s="98"/>
      <c r="F24" s="98">
        <v>18.7</v>
      </c>
      <c r="G24" s="100">
        <f t="shared" si="0"/>
        <v>41125.219444444447</v>
      </c>
      <c r="H24" s="29">
        <f t="shared" si="2"/>
        <v>1.4229166666700621</v>
      </c>
      <c r="I24" s="28">
        <f t="shared" si="1"/>
        <v>18.7</v>
      </c>
      <c r="J24" s="8">
        <v>4</v>
      </c>
      <c r="K24" s="8"/>
      <c r="L24" s="8"/>
      <c r="M24" s="8"/>
      <c r="N24" s="8"/>
      <c r="O24" s="105"/>
    </row>
    <row r="25" spans="2:15" x14ac:dyDescent="0.2">
      <c r="B25" s="103"/>
      <c r="C25" s="91">
        <v>41125</v>
      </c>
      <c r="D25" s="92">
        <v>0.4284722222222222</v>
      </c>
      <c r="E25" s="98">
        <v>16.899999999999999</v>
      </c>
      <c r="F25" s="98"/>
      <c r="G25" s="100">
        <f t="shared" si="0"/>
        <v>41125.428472222222</v>
      </c>
      <c r="H25" s="29">
        <f t="shared" si="2"/>
        <v>1.6319444444452529</v>
      </c>
      <c r="I25" s="28">
        <f t="shared" si="1"/>
        <v>16.899999999999999</v>
      </c>
      <c r="J25" s="8"/>
      <c r="K25" s="8"/>
      <c r="L25" s="8"/>
      <c r="M25" s="8"/>
      <c r="N25" s="8"/>
      <c r="O25" s="105"/>
    </row>
    <row r="26" spans="2:15" x14ac:dyDescent="0.2">
      <c r="B26" s="103"/>
      <c r="C26" s="99">
        <v>41125</v>
      </c>
      <c r="D26" s="90">
        <v>0.80486111111111114</v>
      </c>
      <c r="E26" s="97"/>
      <c r="F26" s="97">
        <v>19.5</v>
      </c>
      <c r="G26" s="96">
        <f t="shared" si="0"/>
        <v>41125.804861111108</v>
      </c>
      <c r="H26" s="11">
        <f t="shared" si="2"/>
        <v>2.0083333333313931</v>
      </c>
      <c r="I26" s="12">
        <f t="shared" si="1"/>
        <v>19.5</v>
      </c>
      <c r="J26" s="8">
        <v>5</v>
      </c>
      <c r="K26" s="8"/>
      <c r="L26" s="8"/>
      <c r="M26" s="8"/>
      <c r="N26" s="8"/>
      <c r="O26" s="105"/>
    </row>
    <row r="27" spans="2:15" x14ac:dyDescent="0.2">
      <c r="B27" s="103"/>
      <c r="C27" s="99">
        <v>41126</v>
      </c>
      <c r="D27" s="90">
        <v>1.4583333333333332E-2</v>
      </c>
      <c r="E27" s="97">
        <v>17.399999999999999</v>
      </c>
      <c r="F27" s="97"/>
      <c r="G27" s="96">
        <f t="shared" si="0"/>
        <v>41126.01458333333</v>
      </c>
      <c r="H27" s="11">
        <f t="shared" si="2"/>
        <v>2.2180555555532919</v>
      </c>
      <c r="I27" s="12">
        <f t="shared" si="1"/>
        <v>17.399999999999999</v>
      </c>
      <c r="J27" s="8"/>
      <c r="K27" s="8"/>
      <c r="L27" s="8"/>
      <c r="M27" s="8"/>
      <c r="N27" s="8"/>
      <c r="O27" s="105"/>
    </row>
    <row r="28" spans="2:15" x14ac:dyDescent="0.2">
      <c r="B28" s="103"/>
      <c r="C28" s="91">
        <v>41126</v>
      </c>
      <c r="D28" s="92">
        <v>0.26527777777777778</v>
      </c>
      <c r="E28" s="98"/>
      <c r="F28" s="98">
        <v>18.8</v>
      </c>
      <c r="G28" s="100">
        <f t="shared" si="0"/>
        <v>41126.265277777777</v>
      </c>
      <c r="H28" s="29">
        <f t="shared" si="2"/>
        <v>2.46875</v>
      </c>
      <c r="I28" s="28">
        <f t="shared" si="1"/>
        <v>18.8</v>
      </c>
      <c r="J28" s="8">
        <v>6</v>
      </c>
      <c r="K28" s="8"/>
      <c r="L28" s="8"/>
      <c r="M28" s="8"/>
      <c r="N28" s="8"/>
      <c r="O28" s="105"/>
    </row>
    <row r="29" spans="2:15" x14ac:dyDescent="0.2">
      <c r="B29" s="103"/>
      <c r="C29" s="91">
        <v>41126</v>
      </c>
      <c r="D29" s="92">
        <v>0.47430555555555554</v>
      </c>
      <c r="E29" s="98">
        <v>17</v>
      </c>
      <c r="F29" s="98"/>
      <c r="G29" s="100">
        <f t="shared" si="0"/>
        <v>41126.474305555559</v>
      </c>
      <c r="H29" s="29">
        <f t="shared" si="2"/>
        <v>2.6777777777824667</v>
      </c>
      <c r="I29" s="28">
        <f t="shared" si="1"/>
        <v>17</v>
      </c>
      <c r="J29" s="8"/>
      <c r="K29" s="8"/>
      <c r="L29" s="8"/>
      <c r="M29" s="8"/>
      <c r="N29" s="8"/>
      <c r="O29" s="105"/>
    </row>
    <row r="30" spans="2:15" x14ac:dyDescent="0.2">
      <c r="B30" s="103"/>
      <c r="C30" s="99">
        <v>41126</v>
      </c>
      <c r="D30" s="90">
        <v>0.85138888888888886</v>
      </c>
      <c r="E30" s="97"/>
      <c r="F30" s="145">
        <v>19.2</v>
      </c>
      <c r="G30" s="96">
        <f t="shared" si="0"/>
        <v>41126.851388888892</v>
      </c>
      <c r="H30" s="11">
        <f t="shared" si="2"/>
        <v>3.054861111115315</v>
      </c>
      <c r="I30" s="12">
        <f t="shared" si="1"/>
        <v>19.2</v>
      </c>
      <c r="J30" s="8">
        <v>7</v>
      </c>
      <c r="K30" s="8"/>
      <c r="L30" s="8"/>
      <c r="M30" s="8"/>
      <c r="N30" s="8"/>
      <c r="O30" s="105"/>
    </row>
    <row r="31" spans="2:15" x14ac:dyDescent="0.2">
      <c r="B31" s="103"/>
      <c r="C31" s="99">
        <v>41127</v>
      </c>
      <c r="D31" s="90">
        <v>1.8749999999999999E-2</v>
      </c>
      <c r="E31" s="97">
        <v>17.600000000000001</v>
      </c>
      <c r="F31" s="97"/>
      <c r="G31" s="96">
        <f t="shared" si="0"/>
        <v>41127.018750000003</v>
      </c>
      <c r="H31" s="11">
        <f t="shared" si="2"/>
        <v>3.2222222222262644</v>
      </c>
      <c r="I31" s="12">
        <f t="shared" si="1"/>
        <v>17.600000000000001</v>
      </c>
      <c r="J31" s="8"/>
      <c r="K31" s="8"/>
      <c r="L31" s="8"/>
      <c r="M31" s="8"/>
      <c r="N31" s="8"/>
      <c r="O31" s="105"/>
    </row>
    <row r="32" spans="2:15" x14ac:dyDescent="0.2">
      <c r="B32" s="103"/>
      <c r="C32" s="91">
        <v>41127</v>
      </c>
      <c r="D32" s="92">
        <v>0.22777777777777777</v>
      </c>
      <c r="E32" s="98"/>
      <c r="F32" s="98">
        <v>18.8</v>
      </c>
      <c r="G32" s="100">
        <f t="shared" si="0"/>
        <v>41127.227777777778</v>
      </c>
      <c r="H32" s="29">
        <f t="shared" si="2"/>
        <v>3.4312500000014552</v>
      </c>
      <c r="I32" s="28">
        <f t="shared" si="1"/>
        <v>18.8</v>
      </c>
      <c r="J32" s="8">
        <v>8</v>
      </c>
      <c r="K32" s="8"/>
      <c r="L32" s="8"/>
      <c r="M32" s="8"/>
      <c r="N32" s="8"/>
      <c r="O32" s="105"/>
    </row>
    <row r="33" spans="2:15" x14ac:dyDescent="0.2">
      <c r="B33" s="103"/>
      <c r="C33" s="91">
        <v>41127</v>
      </c>
      <c r="D33" s="92">
        <v>0.47847222222222219</v>
      </c>
      <c r="E33" s="98">
        <v>16.8</v>
      </c>
      <c r="F33" s="98"/>
      <c r="G33" s="100">
        <f t="shared" si="0"/>
        <v>41127.478472222225</v>
      </c>
      <c r="H33" s="29">
        <f t="shared" si="2"/>
        <v>3.6819444444481633</v>
      </c>
      <c r="I33" s="28">
        <f t="shared" si="1"/>
        <v>16.8</v>
      </c>
      <c r="J33" s="8"/>
      <c r="K33" s="8"/>
      <c r="L33" s="8"/>
      <c r="M33" s="8"/>
      <c r="N33" s="8"/>
      <c r="O33" s="105"/>
    </row>
    <row r="34" spans="2:15" x14ac:dyDescent="0.2">
      <c r="B34" s="103"/>
      <c r="C34" s="99">
        <v>41127</v>
      </c>
      <c r="D34" s="90">
        <v>0.81319444444444444</v>
      </c>
      <c r="E34" s="97"/>
      <c r="F34" s="97">
        <v>18.8</v>
      </c>
      <c r="G34" s="96">
        <f t="shared" si="0"/>
        <v>41127.813194444447</v>
      </c>
      <c r="H34" s="11">
        <f t="shared" si="2"/>
        <v>4.0166666666700621</v>
      </c>
      <c r="I34" s="12">
        <f t="shared" si="1"/>
        <v>18.8</v>
      </c>
      <c r="J34" s="8">
        <v>9</v>
      </c>
      <c r="K34" s="8"/>
      <c r="L34" s="8"/>
      <c r="M34" s="8"/>
      <c r="N34" s="8"/>
      <c r="O34" s="105"/>
    </row>
    <row r="35" spans="2:15" x14ac:dyDescent="0.2">
      <c r="B35" s="103"/>
      <c r="C35" s="99">
        <v>41128</v>
      </c>
      <c r="D35" s="90">
        <v>2.2916666666666669E-2</v>
      </c>
      <c r="E35" s="97">
        <v>16.8</v>
      </c>
      <c r="F35" s="97"/>
      <c r="G35" s="96">
        <f t="shared" si="0"/>
        <v>41128.022916666669</v>
      </c>
      <c r="H35" s="11">
        <f t="shared" si="2"/>
        <v>4.226388888891961</v>
      </c>
      <c r="I35" s="12">
        <f t="shared" si="1"/>
        <v>16.8</v>
      </c>
      <c r="J35" s="8"/>
      <c r="K35" s="8"/>
      <c r="L35" s="8"/>
      <c r="M35" s="8"/>
      <c r="N35" s="8"/>
      <c r="O35" s="105"/>
    </row>
    <row r="36" spans="2:15" x14ac:dyDescent="0.2">
      <c r="B36" s="103"/>
      <c r="C36" s="91">
        <v>41128</v>
      </c>
      <c r="D36" s="92">
        <v>0.27361111111111108</v>
      </c>
      <c r="E36" s="98"/>
      <c r="F36" s="98">
        <v>18.2</v>
      </c>
      <c r="G36" s="100">
        <f t="shared" si="0"/>
        <v>41128.273611111108</v>
      </c>
      <c r="H36" s="29">
        <f t="shared" si="2"/>
        <v>4.4770833333313931</v>
      </c>
      <c r="I36" s="28">
        <f t="shared" si="1"/>
        <v>18.2</v>
      </c>
      <c r="J36" s="8">
        <v>10</v>
      </c>
      <c r="K36" s="8"/>
      <c r="L36" s="8"/>
      <c r="M36" s="8"/>
      <c r="N36" s="8"/>
      <c r="O36" s="105"/>
    </row>
    <row r="37" spans="2:15" x14ac:dyDescent="0.2">
      <c r="B37" s="103"/>
      <c r="C37" s="91">
        <v>41128</v>
      </c>
      <c r="D37" s="92">
        <v>0.48333333333333334</v>
      </c>
      <c r="E37" s="98">
        <v>16.399999999999999</v>
      </c>
      <c r="F37" s="98"/>
      <c r="G37" s="100">
        <f t="shared" si="0"/>
        <v>41128.48333333333</v>
      </c>
      <c r="H37" s="28">
        <f t="shared" si="2"/>
        <v>4.6868055555532919</v>
      </c>
      <c r="I37" s="28">
        <f t="shared" si="1"/>
        <v>16.399999999999999</v>
      </c>
      <c r="J37" s="8"/>
      <c r="K37" s="8"/>
      <c r="L37" s="8"/>
      <c r="M37" s="8"/>
      <c r="N37" s="8"/>
      <c r="O37" s="105"/>
    </row>
    <row r="38" spans="2:15" x14ac:dyDescent="0.2">
      <c r="B38" s="103"/>
      <c r="C38" s="99">
        <v>41128</v>
      </c>
      <c r="D38" s="90">
        <v>0.77569444444444446</v>
      </c>
      <c r="E38" s="97"/>
      <c r="F38" s="97">
        <v>18.8</v>
      </c>
      <c r="G38" s="96">
        <f t="shared" si="0"/>
        <v>41128.775694444441</v>
      </c>
      <c r="H38" s="12">
        <f t="shared" si="2"/>
        <v>4.9791666666642413</v>
      </c>
      <c r="I38" s="12">
        <f t="shared" si="1"/>
        <v>18.8</v>
      </c>
      <c r="J38" s="8">
        <v>11</v>
      </c>
      <c r="K38" s="8"/>
      <c r="L38" s="8"/>
      <c r="M38" s="8"/>
      <c r="N38" s="8"/>
      <c r="O38" s="105"/>
    </row>
    <row r="39" spans="2:15" x14ac:dyDescent="0.2">
      <c r="B39" s="103"/>
      <c r="C39" s="99">
        <v>41129</v>
      </c>
      <c r="D39" s="90">
        <v>6.8749999999999992E-2</v>
      </c>
      <c r="E39" s="97">
        <v>16.399999999999999</v>
      </c>
      <c r="F39" s="97"/>
      <c r="G39" s="96">
        <f t="shared" si="0"/>
        <v>41129.068749999999</v>
      </c>
      <c r="H39" s="12">
        <f t="shared" si="2"/>
        <v>5.2722222222218988</v>
      </c>
      <c r="I39" s="12">
        <f t="shared" si="1"/>
        <v>16.399999999999999</v>
      </c>
      <c r="J39" s="8"/>
      <c r="K39" s="8"/>
      <c r="L39" s="8"/>
      <c r="M39" s="8"/>
      <c r="N39" s="8"/>
      <c r="O39" s="105"/>
    </row>
    <row r="40" spans="2:15" x14ac:dyDescent="0.2">
      <c r="B40" s="103"/>
      <c r="C40" s="91">
        <v>41129</v>
      </c>
      <c r="D40" s="92">
        <v>0.31944444444444448</v>
      </c>
      <c r="E40" s="98"/>
      <c r="F40" s="98">
        <v>18.100000000000001</v>
      </c>
      <c r="G40" s="100">
        <f t="shared" si="0"/>
        <v>41129.319444444445</v>
      </c>
      <c r="H40" s="28">
        <f t="shared" si="2"/>
        <v>5.5229166666686069</v>
      </c>
      <c r="I40" s="28">
        <f t="shared" si="1"/>
        <v>18.100000000000001</v>
      </c>
      <c r="J40" s="8">
        <v>12</v>
      </c>
      <c r="K40" s="8"/>
      <c r="L40" s="8"/>
      <c r="M40" s="8"/>
      <c r="N40" s="8"/>
      <c r="O40" s="105"/>
    </row>
    <row r="41" spans="2:15" x14ac:dyDescent="0.2">
      <c r="B41" s="103"/>
      <c r="C41" s="91">
        <v>41129</v>
      </c>
      <c r="D41" s="92">
        <v>0.52847222222222223</v>
      </c>
      <c r="E41" s="98">
        <v>16.399999999999999</v>
      </c>
      <c r="F41" s="98"/>
      <c r="G41" s="100">
        <f t="shared" si="0"/>
        <v>41129.52847222222</v>
      </c>
      <c r="H41" s="28">
        <f t="shared" si="2"/>
        <v>5.7319444444437977</v>
      </c>
      <c r="I41" s="28">
        <f t="shared" si="1"/>
        <v>16.399999999999999</v>
      </c>
      <c r="J41" s="8"/>
      <c r="K41" s="8"/>
      <c r="L41" s="8"/>
      <c r="M41" s="8"/>
      <c r="N41" s="8"/>
      <c r="O41" s="105"/>
    </row>
    <row r="42" spans="2:15" x14ac:dyDescent="0.2">
      <c r="B42" s="103"/>
      <c r="C42" s="99">
        <v>41129</v>
      </c>
      <c r="D42" s="90">
        <v>0.73819444444444438</v>
      </c>
      <c r="E42" s="97"/>
      <c r="F42" s="97">
        <v>18.5</v>
      </c>
      <c r="G42" s="96">
        <f t="shared" si="0"/>
        <v>41129.738194444442</v>
      </c>
      <c r="H42" s="12">
        <f t="shared" si="2"/>
        <v>5.9416666666656965</v>
      </c>
      <c r="I42" s="12">
        <f t="shared" si="1"/>
        <v>18.5</v>
      </c>
      <c r="J42" s="8">
        <v>13</v>
      </c>
      <c r="K42" s="8"/>
      <c r="L42" s="8"/>
      <c r="M42" s="8"/>
      <c r="N42" s="8"/>
      <c r="O42" s="105"/>
    </row>
    <row r="43" spans="2:15" x14ac:dyDescent="0.2">
      <c r="B43" s="103"/>
      <c r="C43" s="99">
        <v>41129</v>
      </c>
      <c r="D43" s="90">
        <v>0.98888888888888893</v>
      </c>
      <c r="E43" s="97">
        <v>16.5</v>
      </c>
      <c r="F43" s="97"/>
      <c r="G43" s="96">
        <f t="shared" si="0"/>
        <v>41129.988888888889</v>
      </c>
      <c r="H43" s="12">
        <f t="shared" si="2"/>
        <v>6.1923611111124046</v>
      </c>
      <c r="I43" s="12">
        <f t="shared" si="1"/>
        <v>16.5</v>
      </c>
      <c r="J43" s="8"/>
      <c r="K43" s="8"/>
      <c r="L43" s="8"/>
      <c r="M43" s="8"/>
      <c r="N43" s="8"/>
      <c r="O43" s="105"/>
    </row>
    <row r="44" spans="2:15" x14ac:dyDescent="0.2">
      <c r="B44" s="103"/>
      <c r="C44" s="91">
        <v>41130</v>
      </c>
      <c r="D44" s="92">
        <v>0.24027777777777778</v>
      </c>
      <c r="E44" s="98"/>
      <c r="F44" s="98">
        <v>18.100000000000001</v>
      </c>
      <c r="G44" s="100">
        <f t="shared" si="0"/>
        <v>41130.240277777775</v>
      </c>
      <c r="H44" s="28">
        <f t="shared" si="2"/>
        <v>6.4437499999985448</v>
      </c>
      <c r="I44" s="28">
        <f t="shared" si="1"/>
        <v>18.100000000000001</v>
      </c>
      <c r="J44" s="8">
        <v>14</v>
      </c>
      <c r="K44" s="8"/>
      <c r="L44" s="8"/>
      <c r="M44" s="8"/>
      <c r="N44" s="8"/>
      <c r="O44" s="105"/>
    </row>
    <row r="45" spans="2:15" x14ac:dyDescent="0.2">
      <c r="B45" s="103"/>
      <c r="C45" s="91">
        <v>41130</v>
      </c>
      <c r="D45" s="92">
        <v>0.4909722222222222</v>
      </c>
      <c r="E45" s="98">
        <v>16.399999999999999</v>
      </c>
      <c r="F45" s="98"/>
      <c r="G45" s="100">
        <f t="shared" si="0"/>
        <v>41130.490972222222</v>
      </c>
      <c r="H45" s="28">
        <f t="shared" si="2"/>
        <v>6.6944444444452529</v>
      </c>
      <c r="I45" s="28">
        <f t="shared" si="1"/>
        <v>16.399999999999999</v>
      </c>
      <c r="J45" s="8"/>
      <c r="K45" s="8"/>
      <c r="L45" s="8"/>
      <c r="M45" s="8"/>
      <c r="N45" s="8"/>
      <c r="O45" s="105"/>
    </row>
    <row r="46" spans="2:15" x14ac:dyDescent="0.2">
      <c r="B46" s="103"/>
      <c r="C46" s="99">
        <v>41130</v>
      </c>
      <c r="D46" s="90">
        <v>0.78402777777777777</v>
      </c>
      <c r="E46" s="97"/>
      <c r="F46" s="97">
        <v>18.8</v>
      </c>
      <c r="G46" s="96">
        <f t="shared" si="0"/>
        <v>41130.78402777778</v>
      </c>
      <c r="H46" s="12">
        <f t="shared" si="2"/>
        <v>6.9875000000029104</v>
      </c>
      <c r="I46" s="12">
        <f t="shared" si="1"/>
        <v>18.8</v>
      </c>
      <c r="J46" s="8">
        <v>15</v>
      </c>
      <c r="K46" s="8"/>
      <c r="L46" s="8"/>
      <c r="M46" s="8"/>
      <c r="N46" s="8"/>
      <c r="O46" s="105"/>
    </row>
    <row r="47" spans="2:15" x14ac:dyDescent="0.2">
      <c r="B47" s="103"/>
      <c r="C47" s="99">
        <v>41130</v>
      </c>
      <c r="D47" s="90">
        <v>0.99305555555555547</v>
      </c>
      <c r="E47" s="97">
        <v>16.8</v>
      </c>
      <c r="F47" s="97"/>
      <c r="G47" s="96">
        <f t="shared" si="0"/>
        <v>41130.993055555555</v>
      </c>
      <c r="H47" s="12">
        <f t="shared" si="2"/>
        <v>7.1965277777781012</v>
      </c>
      <c r="I47" s="12">
        <f t="shared" si="1"/>
        <v>16.8</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326" t="s">
        <v>36</v>
      </c>
      <c r="K52" s="442"/>
      <c r="L52" s="326" t="s">
        <v>36</v>
      </c>
      <c r="M52" s="22" t="s">
        <v>66</v>
      </c>
      <c r="N52" s="94" t="s">
        <v>66</v>
      </c>
      <c r="O52" s="105"/>
    </row>
    <row r="53" spans="2:15" ht="13.5" hidden="1" thickTop="1" x14ac:dyDescent="0.2">
      <c r="B53" s="103">
        <f t="shared" ref="B53:B67" si="3">IF(D53=0,0,1)</f>
        <v>1</v>
      </c>
      <c r="C53" s="76">
        <v>1</v>
      </c>
      <c r="D53" s="77">
        <f>IF(ISBLANK(E18),E19,E18)</f>
        <v>16.899999999999999</v>
      </c>
      <c r="E53" s="77">
        <f>IF(ISBLANK(F18),F19,F18)</f>
        <v>19</v>
      </c>
      <c r="F53" s="93">
        <f>IF(OR($D$7="c",$D$7="h"),($D53)*PI()*($D$10/2)^2*7.48/10^6,IF($D$7="r",$D53*$D$10*$D$11*7.48/10^6,IF($D$8="y",$D53/10^6,"error")))</f>
        <v>0.18961799999999998</v>
      </c>
      <c r="G53" s="93">
        <f>IF(OR($D$7="c",$D$7="h"),($E53-$D53)*PI()*($D$10/2)^2*7.48/10^6,IF($D$7="r",($E53-$D53)*$D$10*$D$11*7.48/10^6,IF($D$8="y",($E53-$D53)/10^6,"error")))</f>
        <v>2.3562000000000017E-2</v>
      </c>
      <c r="H53" s="51"/>
      <c r="I53" s="78">
        <f>IF(D53+E53=0,"n/a",IF(OR($D$7="c",$D$7="h"),((D53+E53)/2)*PI()*($D$10/2)^2*7.48/10^6,IF($D$7="r",((D53+E53)/2)*$D$10*$D$11*7.48/10^6,IF($D$8="y",((D53+E53)/2)/10^6,""))))</f>
        <v>0.20139899999999999</v>
      </c>
      <c r="J53" s="51">
        <f t="shared" ref="J53:J67" si="4">IF(G53=0,"n/a",G53/F53)</f>
        <v>0.12426035502958591</v>
      </c>
      <c r="K53" s="79">
        <f>IF('Tank Summary'!$K$15="y",10.2, IF(E53/$D$10&lt;=1,10.2,IF(E53/$D$10&gt;1,3.58*(E53/$D$10)+6.66)))</f>
        <v>10.199999999999999</v>
      </c>
      <c r="L53" s="79">
        <f>IF(F53=0,"n/a",((K53/1.13)*$D$13)/((F53*10^6/7.48)^(1/3)))</f>
        <v>0.30727630636419528</v>
      </c>
      <c r="M53" s="51" t="str">
        <f>IF(ISERROR(H19-H18),"n/a",IF(ISBLANK(E18), "n/a",H19-H18))</f>
        <v>n/a</v>
      </c>
      <c r="N53" s="52">
        <f>IF(ISERROR(H19-H18),"n/a",IF(ISBLANK(E18), H19-H18,"n/a"))</f>
        <v>0.20972222222189885</v>
      </c>
      <c r="O53" s="105"/>
    </row>
    <row r="54" spans="2:15" hidden="1" x14ac:dyDescent="0.2">
      <c r="B54" s="103">
        <f t="shared" si="3"/>
        <v>1</v>
      </c>
      <c r="C54" s="80">
        <v>2</v>
      </c>
      <c r="D54" s="77">
        <f>IF(ISBLANK(E20),E21,E20)</f>
        <v>16.600000000000001</v>
      </c>
      <c r="E54" s="77">
        <f>IF(ISBLANK(F20),F21,F20)</f>
        <v>18.399999999999999</v>
      </c>
      <c r="F54" s="34">
        <f>IF(OR($D$7="c",$D$7="h"),($D54)*PI()*($D$10/2)^2*7.48/10^6,IF($D$7="r",$D54*$D$10*$D$11*7.48/10^6,IF($D$8="y",$D54/10^6,"error")))</f>
        <v>0.18625200000000003</v>
      </c>
      <c r="G54" s="34">
        <f>IF(OR($D$7="c",$D$7="h"),($E54-$D54)*PI()*($D$10/2)^2*7.48/10^6,IF($D$7="r",($E54-$D54)*$D$10*$D$11*7.48/10^6,IF($D$8="y",($E54-$D54)/10^6,"error")))</f>
        <v>2.0195999999999971E-2</v>
      </c>
      <c r="H54" s="51">
        <f>IF(D54,IF(OR($D$7="c",$D$7="h"),($E53-$D54)*PI()*($D$10/2)^2*7.48/10^6,IF($D$7="r",($E53-$D54)*$D$10*$D$11*7.48/10^6,IF($D$8="y",($E53-$D54)/10^6,""))),"")</f>
        <v>2.6927999999999987E-2</v>
      </c>
      <c r="I54" s="78">
        <f>IF(D54+E54=0,"n/a",IF(OR($D$7="c",$D$7="h"),((D54+E54)/2)*PI()*($D$10/2)^2*7.48/10^6,IF($D$7="r",((D54+E54)/2)*$D$10*$D$11*7.48/10^6,IF($D$8="y",((D54+E54)/2)/10^6,""))))</f>
        <v>0.19635</v>
      </c>
      <c r="J54" s="11">
        <f t="shared" si="4"/>
        <v>0.10843373493975886</v>
      </c>
      <c r="K54" s="79">
        <f>IF('Tank Summary'!$K$15="y",10.2, IF(E54/$D$10&lt;=1,10.2,IF(E54/$D$10&gt;1,3.58*(E54/$D$10)+6.66)))</f>
        <v>10.199999999999999</v>
      </c>
      <c r="L54" s="79">
        <f t="shared" ref="L54:L67" si="5">IF(F54=0,"n/a",((K54/1.13)*$D$13)/((F54*10^6/7.48)^(1/3)))</f>
        <v>0.30911632810063877</v>
      </c>
      <c r="M54" s="11">
        <f>IF(ISERROR(H21-H20),"n/a",IF(ISBLANK(E20), H20-H19,H21-H20))</f>
        <v>0.20902777778246673</v>
      </c>
      <c r="N54" s="49">
        <f>IF(ISERROR(H21-H20),"n/a",IF(ISBLANK(E20), H21-H20,H20-H19))</f>
        <v>0.25069444443943212</v>
      </c>
      <c r="O54" s="105"/>
    </row>
    <row r="55" spans="2:15" hidden="1" x14ac:dyDescent="0.2">
      <c r="B55" s="103">
        <f t="shared" si="3"/>
        <v>1</v>
      </c>
      <c r="C55" s="80">
        <v>3</v>
      </c>
      <c r="D55" s="77">
        <f>IF(ISBLANK(E22),E23,E22)</f>
        <v>16.899999999999999</v>
      </c>
      <c r="E55" s="77">
        <f>IF(ISBLANK(F22),F23,F22)</f>
        <v>18.899999999999999</v>
      </c>
      <c r="F55" s="34">
        <f t="shared" ref="F55:F67" si="6">IF(OR($D$7="c",$D$7="h"),($D55)*PI()*($D$10/2)^2*7.48/10^6,IF($D$7="r",$D55*$D$10*$D$11*7.48/10^6,IF($D$8="y",$D55/10^6,"error")))</f>
        <v>0.18961799999999998</v>
      </c>
      <c r="G55" s="34">
        <f t="shared" ref="G55:G67" si="7">IF(OR($D$7="c",$D$7="h"),($E55-$D55)*PI()*($D$10/2)^2*7.48/10^6,IF($D$7="r",($E55-$D55)*$D$10*$D$11*7.48/10^6,IF($D$8="y",($E55-$D55)/10^6,"error")))</f>
        <v>2.2440000000000002E-2</v>
      </c>
      <c r="H55" s="51">
        <f t="shared" ref="H55:H67" si="8">IF(D55,IF(OR($D$7="c",$D$7="h"),($E54-$D55)*PI()*($D$10/2)^2*7.48/10^6,IF($D$7="r",($E54-$D55)*$D$10*$D$11*7.48/10^6,IF($D$8="y",($E54-$D55)/10^6,""))),"")</f>
        <v>1.6830000000000001E-2</v>
      </c>
      <c r="I55" s="78">
        <f t="shared" ref="I55:I67" si="9">IF(D55+E55=0,"n/a",IF(OR($D$7="c",$D$7="h"),((D55+E55)/2)*PI()*($D$10/2)^2*7.48/10^6,IF($D$7="r",((D55+E55)/2)*$D$10*$D$11*7.48/10^6,IF($D$8="y",((D55+E55)/2)/10^6,""))))</f>
        <v>0.20083799999999996</v>
      </c>
      <c r="J55" s="11">
        <f t="shared" si="4"/>
        <v>0.11834319526627221</v>
      </c>
      <c r="K55" s="79">
        <f>IF('Tank Summary'!$K$15="y",10.2, IF(E55/$D$10&lt;=1,10.2,IF(E55/$D$10&gt;1,3.58*(E55/$D$10)+6.66)))</f>
        <v>10.199999999999999</v>
      </c>
      <c r="L55" s="79">
        <f t="shared" si="5"/>
        <v>0.30727630636419528</v>
      </c>
      <c r="M55" s="11">
        <f>IF(ISERROR(H23-H22),"n/a",IF(ISBLANK(E22), H22-H21,H23-H22))</f>
        <v>0.2930555555576575</v>
      </c>
      <c r="N55" s="49">
        <f>IF(ISERROR(H23-H22),"n/a",IF(ISBLANK(E22), H23-H22,H22-H21))</f>
        <v>0.20902777777519077</v>
      </c>
      <c r="O55" s="105"/>
    </row>
    <row r="56" spans="2:15" hidden="1" x14ac:dyDescent="0.2">
      <c r="B56" s="103">
        <f t="shared" si="3"/>
        <v>1</v>
      </c>
      <c r="C56" s="80">
        <v>4</v>
      </c>
      <c r="D56" s="77">
        <f>IF(ISBLANK(E24),E25,E24)</f>
        <v>16.899999999999999</v>
      </c>
      <c r="E56" s="77">
        <f>IF(ISBLANK(F24),F25,F24)</f>
        <v>18.7</v>
      </c>
      <c r="F56" s="34">
        <f t="shared" si="6"/>
        <v>0.18961799999999998</v>
      </c>
      <c r="G56" s="34">
        <f t="shared" si="7"/>
        <v>2.0196000000000006E-2</v>
      </c>
      <c r="H56" s="51">
        <f t="shared" si="8"/>
        <v>2.2440000000000002E-2</v>
      </c>
      <c r="I56" s="78">
        <f t="shared" si="9"/>
        <v>0.19971599999999998</v>
      </c>
      <c r="J56" s="11">
        <f t="shared" si="4"/>
        <v>0.10650887573964501</v>
      </c>
      <c r="K56" s="79">
        <f>IF('Tank Summary'!$K$15="y",10.2, IF(E56/$D$10&lt;=1,10.2,IF(E56/$D$10&gt;1,3.58*(E56/$D$10)+6.66)))</f>
        <v>10.199999999999999</v>
      </c>
      <c r="L56" s="79">
        <f t="shared" si="5"/>
        <v>0.30727630636419528</v>
      </c>
      <c r="M56" s="11">
        <f>IF(ISERROR(H25-H24),"n/a",IF(ISBLANK(E24), H24-H23,H25-H24))</f>
        <v>0.25138888889341615</v>
      </c>
      <c r="N56" s="49">
        <f>IF(ISERROR(H25-H24),"n/a",IF(ISBLANK(E24), H25-H24,H24-H23))</f>
        <v>0.20902777777519077</v>
      </c>
      <c r="O56" s="105"/>
    </row>
    <row r="57" spans="2:15" hidden="1" x14ac:dyDescent="0.2">
      <c r="B57" s="103">
        <f t="shared" si="3"/>
        <v>1</v>
      </c>
      <c r="C57" s="80">
        <v>5</v>
      </c>
      <c r="D57" s="77">
        <f>IF(ISBLANK(E26),E27,E26)</f>
        <v>17.399999999999999</v>
      </c>
      <c r="E57" s="77">
        <f>IF(ISBLANK(F26),F27,F26)</f>
        <v>19.5</v>
      </c>
      <c r="F57" s="34">
        <f t="shared" si="6"/>
        <v>0.19522799999999996</v>
      </c>
      <c r="G57" s="34">
        <f t="shared" si="7"/>
        <v>2.3562000000000017E-2</v>
      </c>
      <c r="H57" s="51">
        <f t="shared" si="8"/>
        <v>1.4586000000000007E-2</v>
      </c>
      <c r="I57" s="78">
        <f t="shared" si="9"/>
        <v>0.207009</v>
      </c>
      <c r="J57" s="11">
        <f t="shared" si="4"/>
        <v>0.12068965517241391</v>
      </c>
      <c r="K57" s="79">
        <f>IF('Tank Summary'!$K$15="y",10.2, IF(E57/$D$10&lt;=1,10.2,IF(E57/$D$10&gt;1,3.58*(E57/$D$10)+6.66)))</f>
        <v>10.199999999999999</v>
      </c>
      <c r="L57" s="79">
        <f t="shared" si="5"/>
        <v>0.30430439570862189</v>
      </c>
      <c r="M57" s="11">
        <f>IF(ISERROR(H27-H26),"n/a",IF(ISBLANK(E26), H26-H25,H27-H26))</f>
        <v>0.37638888888614019</v>
      </c>
      <c r="N57" s="49">
        <f>IF(ISERROR(H27-H26),"n/a",IF(ISBLANK(E26), H27-H26,H26-H25))</f>
        <v>0.20972222222189885</v>
      </c>
      <c r="O57" s="105"/>
    </row>
    <row r="58" spans="2:15" hidden="1" x14ac:dyDescent="0.2">
      <c r="B58" s="103">
        <f t="shared" si="3"/>
        <v>1</v>
      </c>
      <c r="C58" s="80">
        <v>6</v>
      </c>
      <c r="D58" s="77">
        <f>IF(ISBLANK(E28),E29,E28)</f>
        <v>17</v>
      </c>
      <c r="E58" s="77">
        <f>IF(ISBLANK(F28),F29,F28)</f>
        <v>18.8</v>
      </c>
      <c r="F58" s="34">
        <f t="shared" si="6"/>
        <v>0.19073999999999999</v>
      </c>
      <c r="G58" s="34">
        <f t="shared" si="7"/>
        <v>2.0196000000000006E-2</v>
      </c>
      <c r="H58" s="51">
        <f t="shared" si="8"/>
        <v>2.8049999999999999E-2</v>
      </c>
      <c r="I58" s="78">
        <f t="shared" si="9"/>
        <v>0.20083799999999996</v>
      </c>
      <c r="J58" s="11">
        <f t="shared" si="4"/>
        <v>0.10588235294117651</v>
      </c>
      <c r="K58" s="79">
        <f>IF('Tank Summary'!$K$15="y",10.2, IF(E58/$D$10&lt;=1,10.2,IF(E58/$D$10&gt;1,3.58*(E58/$D$10)+6.66)))</f>
        <v>10.199999999999999</v>
      </c>
      <c r="L58" s="79">
        <f t="shared" si="5"/>
        <v>0.30667261854920858</v>
      </c>
      <c r="M58" s="11">
        <f>IF(ISERROR(H29-H28),"n/a",IF(ISBLANK(E28), H28-H27,H29-H28))</f>
        <v>0.25069444444670808</v>
      </c>
      <c r="N58" s="49">
        <f>IF(ISERROR(H29-H28),"n/a",IF(ISBLANK(E28), H29-H28,H28-H27))</f>
        <v>0.20902777778246673</v>
      </c>
      <c r="O58" s="105"/>
    </row>
    <row r="59" spans="2:15" hidden="1" x14ac:dyDescent="0.2">
      <c r="B59" s="103">
        <f t="shared" si="3"/>
        <v>1</v>
      </c>
      <c r="C59" s="80">
        <v>7</v>
      </c>
      <c r="D59" s="77">
        <f>IF(ISBLANK(E30),E31,E30)</f>
        <v>17.600000000000001</v>
      </c>
      <c r="E59" s="77">
        <f>IF(ISBLANK(F30),F31,F30)</f>
        <v>19.2</v>
      </c>
      <c r="F59" s="34">
        <f t="shared" si="6"/>
        <v>0.19747200000000004</v>
      </c>
      <c r="G59" s="34">
        <f t="shared" si="7"/>
        <v>1.7951999999999975E-2</v>
      </c>
      <c r="H59" s="51">
        <f t="shared" si="8"/>
        <v>1.3463999999999993E-2</v>
      </c>
      <c r="I59" s="78">
        <f t="shared" si="9"/>
        <v>0.20644799999999996</v>
      </c>
      <c r="J59" s="11">
        <f t="shared" si="4"/>
        <v>9.0909090909090759E-2</v>
      </c>
      <c r="K59" s="79">
        <f>IF('Tank Summary'!$K$15="y",10.2, IF(E59/$D$10&lt;=1,10.2,IF(E59/$D$10&gt;1,3.58*(E59/$D$10)+6.66)))</f>
        <v>10.199999999999999</v>
      </c>
      <c r="L59" s="79">
        <f t="shared" si="5"/>
        <v>0.30314733360100238</v>
      </c>
      <c r="M59" s="11">
        <f>IF(ISERROR(H31-H30),"n/a",IF(ISBLANK(E30), H30-H29,H31-H30))</f>
        <v>0.37708333333284827</v>
      </c>
      <c r="N59" s="49">
        <f>IF(ISERROR(H31-H30),"n/a",IF(ISBLANK(E30), H31-H30,H30-H29))</f>
        <v>0.16736111111094942</v>
      </c>
      <c r="O59" s="105"/>
    </row>
    <row r="60" spans="2:15" hidden="1" x14ac:dyDescent="0.2">
      <c r="B60" s="103">
        <f t="shared" si="3"/>
        <v>1</v>
      </c>
      <c r="C60" s="80">
        <v>8</v>
      </c>
      <c r="D60" s="77">
        <f>IF(ISBLANK(E32),E33,E32)</f>
        <v>16.8</v>
      </c>
      <c r="E60" s="77">
        <f>IF(ISBLANK(F32),F33,F32)</f>
        <v>18.8</v>
      </c>
      <c r="F60" s="34">
        <f t="shared" si="6"/>
        <v>0.188496</v>
      </c>
      <c r="G60" s="34">
        <f t="shared" si="7"/>
        <v>2.2440000000000002E-2</v>
      </c>
      <c r="H60" s="51">
        <f t="shared" si="8"/>
        <v>2.6927999999999987E-2</v>
      </c>
      <c r="I60" s="78">
        <f t="shared" si="9"/>
        <v>0.199716</v>
      </c>
      <c r="J60" s="11">
        <f t="shared" si="4"/>
        <v>0.11904761904761905</v>
      </c>
      <c r="K60" s="79">
        <f>IF('Tank Summary'!$K$15="y",10.2, IF(E60/$D$10&lt;=1,10.2,IF(E60/$D$10&gt;1,3.58*(E60/$D$10)+6.66)))</f>
        <v>10.199999999999999</v>
      </c>
      <c r="L60" s="79">
        <f t="shared" si="5"/>
        <v>0.30788477588663415</v>
      </c>
      <c r="M60" s="11">
        <f>IF(ISERROR(H33-H32),"n/a",IF(ISBLANK(E32), H32-H31,H33-H32))</f>
        <v>0.20902777777519077</v>
      </c>
      <c r="N60" s="49">
        <f>IF(ISERROR(H33-H32),"n/a",IF(ISBLANK(E32), H33-H32,H32-H31))</f>
        <v>0.25069444444670808</v>
      </c>
      <c r="O60" s="105"/>
    </row>
    <row r="61" spans="2:15" hidden="1" x14ac:dyDescent="0.2">
      <c r="B61" s="103">
        <f t="shared" si="3"/>
        <v>1</v>
      </c>
      <c r="C61" s="80">
        <v>9</v>
      </c>
      <c r="D61" s="77">
        <f>IF(ISBLANK(E34),E35,E34)</f>
        <v>16.8</v>
      </c>
      <c r="E61" s="77">
        <f>IF(ISBLANK(F34),F35,F34)</f>
        <v>18.8</v>
      </c>
      <c r="F61" s="34">
        <f t="shared" si="6"/>
        <v>0.188496</v>
      </c>
      <c r="G61" s="34">
        <f t="shared" si="7"/>
        <v>2.2440000000000002E-2</v>
      </c>
      <c r="H61" s="51">
        <f t="shared" si="8"/>
        <v>2.2440000000000002E-2</v>
      </c>
      <c r="I61" s="78">
        <f t="shared" si="9"/>
        <v>0.199716</v>
      </c>
      <c r="J61" s="11">
        <f t="shared" si="4"/>
        <v>0.11904761904761905</v>
      </c>
      <c r="K61" s="79">
        <f>IF('Tank Summary'!$K$15="y",10.2, IF(E61/$D$10&lt;=1,10.2,IF(E61/$D$10&gt;1,3.58*(E61/$D$10)+6.66)))</f>
        <v>10.199999999999999</v>
      </c>
      <c r="L61" s="79">
        <f t="shared" si="5"/>
        <v>0.30788477588663415</v>
      </c>
      <c r="M61" s="11">
        <f>IF(ISERROR(H35-H34),"n/a",IF(ISBLANK(E34), H34-H33,H35-H34))</f>
        <v>0.33472222222189885</v>
      </c>
      <c r="N61" s="49">
        <f>IF(ISERROR(H35-H34),"n/a",IF(ISBLANK(E34), H35-H34,H34-H33))</f>
        <v>0.20972222222189885</v>
      </c>
      <c r="O61" s="105"/>
    </row>
    <row r="62" spans="2:15" hidden="1" x14ac:dyDescent="0.2">
      <c r="B62" s="103">
        <f t="shared" si="3"/>
        <v>1</v>
      </c>
      <c r="C62" s="80">
        <v>10</v>
      </c>
      <c r="D62" s="77">
        <f>IF(ISBLANK(E36),E37,E36)</f>
        <v>16.399999999999999</v>
      </c>
      <c r="E62" s="77">
        <f>IF(ISBLANK(F36),F37,F36)</f>
        <v>18.2</v>
      </c>
      <c r="F62" s="34">
        <f t="shared" si="6"/>
        <v>0.18400799999999998</v>
      </c>
      <c r="G62" s="34">
        <f t="shared" si="7"/>
        <v>2.0196000000000006E-2</v>
      </c>
      <c r="H62" s="51">
        <f t="shared" si="8"/>
        <v>2.6928000000000028E-2</v>
      </c>
      <c r="I62" s="78">
        <f t="shared" si="9"/>
        <v>0.19410599999999997</v>
      </c>
      <c r="J62" s="11">
        <f t="shared" si="4"/>
        <v>0.10975609756097565</v>
      </c>
      <c r="K62" s="79">
        <f>IF('Tank Summary'!$K$15="y",10.2, IF(E62/$D$10&lt;=1,10.2,IF(E62/$D$10&gt;1,3.58*(E62/$D$10)+6.66)))</f>
        <v>10.199999999999999</v>
      </c>
      <c r="L62" s="79">
        <f t="shared" si="5"/>
        <v>0.31036782485840325</v>
      </c>
      <c r="M62" s="11">
        <f>IF(ISERROR(H37-H36),"n/a",IF(ISBLANK(E36), H36-H35,H37-H36))</f>
        <v>0.25069444443943212</v>
      </c>
      <c r="N62" s="49">
        <f>IF(ISERROR(H37-H36),"n/a",IF(ISBLANK(E36), H37-H36,H36-H35))</f>
        <v>0.20972222222189885</v>
      </c>
      <c r="O62" s="105"/>
    </row>
    <row r="63" spans="2:15" hidden="1" x14ac:dyDescent="0.2">
      <c r="B63" s="103">
        <f t="shared" si="3"/>
        <v>1</v>
      </c>
      <c r="C63" s="80">
        <v>11</v>
      </c>
      <c r="D63" s="77">
        <f>IF(ISBLANK(E38),E39,E38)</f>
        <v>16.399999999999999</v>
      </c>
      <c r="E63" s="77">
        <f>IF(ISBLANK(F38),F39,F38)</f>
        <v>18.8</v>
      </c>
      <c r="F63" s="34">
        <f t="shared" si="6"/>
        <v>0.18400799999999998</v>
      </c>
      <c r="G63" s="34">
        <f t="shared" si="7"/>
        <v>2.6928000000000028E-2</v>
      </c>
      <c r="H63" s="51">
        <f t="shared" si="8"/>
        <v>2.0196000000000006E-2</v>
      </c>
      <c r="I63" s="78">
        <f t="shared" si="9"/>
        <v>0.19747200000000004</v>
      </c>
      <c r="J63" s="11">
        <f t="shared" si="4"/>
        <v>0.14634146341463433</v>
      </c>
      <c r="K63" s="79">
        <f>IF('Tank Summary'!$K$15="y",10.2, IF(E63/$D$10&lt;=1,10.2,IF(E63/$D$10&gt;1,3.58*(E63/$D$10)+6.66)))</f>
        <v>10.199999999999999</v>
      </c>
      <c r="L63" s="79">
        <f t="shared" si="5"/>
        <v>0.31036782485840325</v>
      </c>
      <c r="M63" s="11">
        <f>IF(ISERROR(H39-H38),"n/a",IF(ISBLANK(E38), H38-H37,H39-H38))</f>
        <v>0.29236111111094942</v>
      </c>
      <c r="N63" s="49">
        <f>IF(ISERROR(H39-H38),"n/a",IF(ISBLANK(E38), H39-H38,H38-H37))</f>
        <v>0.2930555555576575</v>
      </c>
      <c r="O63" s="105"/>
    </row>
    <row r="64" spans="2:15" hidden="1" x14ac:dyDescent="0.2">
      <c r="B64" s="103">
        <f t="shared" si="3"/>
        <v>1</v>
      </c>
      <c r="C64" s="80">
        <v>12</v>
      </c>
      <c r="D64" s="77">
        <f>IF(ISBLANK(E40),E41,E40)</f>
        <v>16.399999999999999</v>
      </c>
      <c r="E64" s="77">
        <f>IF(ISBLANK(F40),F41,F40)</f>
        <v>18.100000000000001</v>
      </c>
      <c r="F64" s="34">
        <f t="shared" si="6"/>
        <v>0.18400799999999998</v>
      </c>
      <c r="G64" s="34">
        <f t="shared" si="7"/>
        <v>1.9074000000000032E-2</v>
      </c>
      <c r="H64" s="51">
        <f t="shared" si="8"/>
        <v>2.6928000000000028E-2</v>
      </c>
      <c r="I64" s="78">
        <f t="shared" si="9"/>
        <v>0.19354499999999999</v>
      </c>
      <c r="J64" s="11">
        <f t="shared" si="4"/>
        <v>0.10365853658536604</v>
      </c>
      <c r="K64" s="79">
        <f>IF('Tank Summary'!$K$15="y",10.2, IF(E64/$D$10&lt;=1,10.2,IF(E64/$D$10&gt;1,3.58*(E64/$D$10)+6.66)))</f>
        <v>10.199999999999999</v>
      </c>
      <c r="L64" s="79">
        <f t="shared" si="5"/>
        <v>0.31036782485840325</v>
      </c>
      <c r="M64" s="11">
        <f>IF(ISERROR(H41-H40),"n/a",IF(ISBLANK(E40), H40-H39,H41-H40))</f>
        <v>0.25069444444670808</v>
      </c>
      <c r="N64" s="49">
        <f>IF(ISERROR(H41-H40),"n/a",IF(ISBLANK(E40), H41-H40,H40-H39))</f>
        <v>0.20902777777519077</v>
      </c>
      <c r="O64" s="105"/>
    </row>
    <row r="65" spans="2:15" hidden="1" x14ac:dyDescent="0.2">
      <c r="B65" s="103">
        <f t="shared" si="3"/>
        <v>1</v>
      </c>
      <c r="C65" s="80">
        <v>13</v>
      </c>
      <c r="D65" s="77">
        <f>IF(ISBLANK(E42),E43,E42)</f>
        <v>16.5</v>
      </c>
      <c r="E65" s="77">
        <f>IF(ISBLANK(F42),F43,F42)</f>
        <v>18.5</v>
      </c>
      <c r="F65" s="34">
        <f t="shared" si="6"/>
        <v>0.18512999999999999</v>
      </c>
      <c r="G65" s="34">
        <f t="shared" si="7"/>
        <v>2.2440000000000002E-2</v>
      </c>
      <c r="H65" s="51">
        <f t="shared" si="8"/>
        <v>1.7952000000000017E-2</v>
      </c>
      <c r="I65" s="78">
        <f t="shared" si="9"/>
        <v>0.19635</v>
      </c>
      <c r="J65" s="11">
        <f t="shared" si="4"/>
        <v>0.12121212121212123</v>
      </c>
      <c r="K65" s="79">
        <f>IF('Tank Summary'!$K$15="y",10.2, IF(E65/$D$10&lt;=1,10.2,IF(E65/$D$10&gt;1,3.58*(E65/$D$10)+6.66)))</f>
        <v>10.199999999999999</v>
      </c>
      <c r="L65" s="79">
        <f t="shared" si="5"/>
        <v>0.30973954819120425</v>
      </c>
      <c r="M65" s="11">
        <f>IF(ISERROR(H43-H42),"n/a",IF(ISBLANK(E42), H42-H41,H43-H42))</f>
        <v>0.20972222222189885</v>
      </c>
      <c r="N65" s="49">
        <f>IF(ISERROR(H43-H42),"n/a",IF(ISBLANK(E42), H43-H42,H42-H41))</f>
        <v>0.25069444444670808</v>
      </c>
      <c r="O65" s="105"/>
    </row>
    <row r="66" spans="2:15" hidden="1" x14ac:dyDescent="0.2">
      <c r="B66" s="103">
        <f t="shared" si="3"/>
        <v>1</v>
      </c>
      <c r="C66" s="80">
        <v>14</v>
      </c>
      <c r="D66" s="77">
        <f>IF(ISBLANK(E44),E45,E44)</f>
        <v>16.399999999999999</v>
      </c>
      <c r="E66" s="77">
        <f>IF(ISBLANK(F44),F45,F44)</f>
        <v>18.100000000000001</v>
      </c>
      <c r="F66" s="34">
        <f t="shared" si="6"/>
        <v>0.18400799999999998</v>
      </c>
      <c r="G66" s="34">
        <f t="shared" si="7"/>
        <v>1.9074000000000032E-2</v>
      </c>
      <c r="H66" s="51">
        <f t="shared" si="8"/>
        <v>2.3562000000000017E-2</v>
      </c>
      <c r="I66" s="78">
        <f t="shared" si="9"/>
        <v>0.19354499999999999</v>
      </c>
      <c r="J66" s="11">
        <f t="shared" si="4"/>
        <v>0.10365853658536604</v>
      </c>
      <c r="K66" s="79">
        <f>IF('Tank Summary'!$K$15="y",10.2, IF(E66/$D$10&lt;=1,10.2,IF(E66/$D$10&gt;1,3.58*(E66/$D$10)+6.66)))</f>
        <v>10.199999999999999</v>
      </c>
      <c r="L66" s="79">
        <f t="shared" si="5"/>
        <v>0.31036782485840325</v>
      </c>
      <c r="M66" s="11">
        <f>IF(ISERROR(H45-H44),"n/a",IF(ISBLANK(E44), H44-H43,H45-H44))</f>
        <v>0.25138888888614019</v>
      </c>
      <c r="N66" s="49">
        <f>IF(ISERROR(H45-H44),"n/a",IF(ISBLANK(E44), H45-H44,H44-H43))</f>
        <v>0.25069444444670808</v>
      </c>
      <c r="O66" s="105"/>
    </row>
    <row r="67" spans="2:15" ht="13.5" hidden="1" thickBot="1" x14ac:dyDescent="0.25">
      <c r="B67" s="103">
        <f t="shared" si="3"/>
        <v>1</v>
      </c>
      <c r="C67" s="81">
        <v>15</v>
      </c>
      <c r="D67" s="82">
        <f>IF(ISBLANK(E46),E47,E46)</f>
        <v>16.8</v>
      </c>
      <c r="E67" s="82">
        <f>IF(ISBLANK(F46),F47,F46)</f>
        <v>18.8</v>
      </c>
      <c r="F67" s="140">
        <f t="shared" si="6"/>
        <v>0.188496</v>
      </c>
      <c r="G67" s="140">
        <f t="shared" si="7"/>
        <v>2.2440000000000002E-2</v>
      </c>
      <c r="H67" s="141">
        <f t="shared" si="8"/>
        <v>1.4586000000000007E-2</v>
      </c>
      <c r="I67" s="142">
        <f t="shared" si="9"/>
        <v>0.199716</v>
      </c>
      <c r="J67" s="50">
        <f t="shared" si="4"/>
        <v>0.11904761904761905</v>
      </c>
      <c r="K67" s="50">
        <f>IF('Tank Summary'!$K$15="y",10.2, IF(E67/$D$10&lt;=1,10.2,IF(E67/$D$10&gt;1,3.58*(E67/$D$10)+6.66)))</f>
        <v>10.199999999999999</v>
      </c>
      <c r="L67" s="50">
        <f t="shared" si="5"/>
        <v>0.30788477588663415</v>
      </c>
      <c r="M67" s="50">
        <f>IF(ISERROR(H47-H46),"n/a",IF(ISBLANK(E46), H46-H45,H47-H46))</f>
        <v>0.2930555555576575</v>
      </c>
      <c r="N67" s="68">
        <f>IF(ISERROR(H47-H46),"n/a",IF(ISBLANK(E46), H47-H46,H46-H45))</f>
        <v>0.20902777777519077</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f>SUM(G53:G67)/COUNTIF(G53:G67,"&gt;0")</f>
        <v>2.1542400000000007E-2</v>
      </c>
      <c r="F70" s="54" t="s">
        <v>4</v>
      </c>
      <c r="G70" s="27"/>
      <c r="H70" s="7" t="str">
        <f>IF(D8="y","Avg Vol at Start of Fill","Avg Min Water Level")</f>
        <v>Avg Min Water Level</v>
      </c>
      <c r="I70" s="40"/>
      <c r="J70" s="37">
        <f>IF('Tank Summary'!K15="n","",SUM(D53:D67)/SUM(B53:B67))</f>
        <v>16.786666666666669</v>
      </c>
      <c r="K70" s="15" t="str">
        <f>IF(D8="y","gal","ft")</f>
        <v>ft</v>
      </c>
      <c r="L70" s="8"/>
      <c r="M70" s="8"/>
      <c r="N70" s="109"/>
      <c r="O70" s="105"/>
    </row>
    <row r="71" spans="2:15" x14ac:dyDescent="0.2">
      <c r="B71" s="103"/>
      <c r="C71" s="4" t="s">
        <v>47</v>
      </c>
      <c r="D71" s="58"/>
      <c r="E71" s="2">
        <f>SUM(H53:H67)/COUNTIF(H53:H67,"&gt;0")</f>
        <v>2.1558428571428579E-2</v>
      </c>
      <c r="F71" s="5" t="s">
        <v>5</v>
      </c>
      <c r="G71" s="8"/>
      <c r="H71" s="41" t="s">
        <v>63</v>
      </c>
      <c r="I71" s="39"/>
      <c r="J71" s="38">
        <f>IF('Tank Summary'!K15="n","",AVERAGE(J53:J67))</f>
        <v>0.11445312483328424</v>
      </c>
      <c r="K71" s="16"/>
      <c r="L71" s="8"/>
      <c r="M71" s="8"/>
      <c r="N71" s="8"/>
      <c r="O71" s="105"/>
    </row>
    <row r="72" spans="2:15" x14ac:dyDescent="0.2">
      <c r="B72" s="103"/>
      <c r="C72" s="41" t="s">
        <v>40</v>
      </c>
      <c r="D72" s="66"/>
      <c r="E72" s="143">
        <f>AVERAGE(M53:M67)</f>
        <v>0.27495039682565092</v>
      </c>
      <c r="F72" s="16" t="s">
        <v>2</v>
      </c>
      <c r="G72" s="8"/>
      <c r="H72" s="41" t="s">
        <v>64</v>
      </c>
      <c r="I72" s="39"/>
      <c r="J72" s="38">
        <f>IF('Tank Summary'!K15="n","",AVERAGE(L53:L67))</f>
        <v>0.30799565135578516</v>
      </c>
      <c r="K72" s="16"/>
      <c r="L72" s="8"/>
      <c r="M72" s="8"/>
      <c r="N72" s="8"/>
      <c r="O72" s="105"/>
    </row>
    <row r="73" spans="2:15" x14ac:dyDescent="0.2">
      <c r="B73" s="103"/>
      <c r="C73" s="41" t="s">
        <v>41</v>
      </c>
      <c r="D73" s="66"/>
      <c r="E73" s="144">
        <f>AVERAGE(N53:N67)</f>
        <v>0.22314814814793257</v>
      </c>
      <c r="F73" s="65" t="s">
        <v>2</v>
      </c>
      <c r="G73" s="8"/>
      <c r="H73" s="41" t="str">
        <f>IF(D8="y","Avg Measured Vol Change","Avg Measured Water Level Change")</f>
        <v>Avg Measured Water Level Change</v>
      </c>
      <c r="I73" s="39"/>
      <c r="J73" s="86">
        <f>IF('Tank Summary'!K15="n","",(SUM(E53:E67)/SUM(B53:B67))-J70)</f>
        <v>1.9199999999999982</v>
      </c>
      <c r="K73" s="16" t="str">
        <f>IF(D8="y","gal","ft")</f>
        <v>ft</v>
      </c>
      <c r="L73" s="8"/>
      <c r="M73" s="8"/>
      <c r="N73" s="8"/>
      <c r="O73" s="105"/>
    </row>
    <row r="74" spans="2:15" ht="24.75" customHeight="1" x14ac:dyDescent="0.2">
      <c r="B74" s="103"/>
      <c r="C74" s="41" t="s">
        <v>30</v>
      </c>
      <c r="D74" s="66"/>
      <c r="E74" s="36">
        <f>E70*10^6/(E72*24*60)</f>
        <v>54.40981417999663</v>
      </c>
      <c r="F74" s="43" t="s">
        <v>28</v>
      </c>
      <c r="G74" s="8"/>
      <c r="H74" s="431" t="str">
        <f>IF(D8="y","Desired Vol Change Needed for Good Mixing","Desired Water Level Change Needed for Good Mixing")</f>
        <v>Desired Water Level Change Needed for Good Mixing</v>
      </c>
      <c r="I74" s="432"/>
      <c r="J74" s="47">
        <f>IF('Tank Summary'!K15="n","",$J$70*J72)</f>
        <v>5.1702203340924475</v>
      </c>
      <c r="K74" s="45" t="str">
        <f>IF(D8="y","gal","ft")</f>
        <v>ft</v>
      </c>
      <c r="L74" s="8"/>
      <c r="M74" s="8"/>
      <c r="N74" s="8"/>
      <c r="O74" s="105"/>
    </row>
    <row r="75" spans="2:15" ht="24.75" customHeight="1" x14ac:dyDescent="0.2">
      <c r="B75" s="103"/>
      <c r="C75" s="41" t="s">
        <v>31</v>
      </c>
      <c r="D75" s="66"/>
      <c r="E75" s="36">
        <f>E71*10^6/(E73*24*60)</f>
        <v>67.090545346834261</v>
      </c>
      <c r="F75" s="43" t="s">
        <v>28</v>
      </c>
      <c r="G75" s="8"/>
      <c r="H75" s="431" t="s">
        <v>65</v>
      </c>
      <c r="I75" s="437"/>
      <c r="J75" s="176">
        <f>IF('Tank Summary'!K15="n","",J73/J74)</f>
        <v>0.37135748109988903</v>
      </c>
      <c r="K75" s="5"/>
      <c r="L75" s="8"/>
      <c r="M75" s="8"/>
      <c r="N75" s="8"/>
      <c r="O75" s="105"/>
    </row>
    <row r="76" spans="2:15" ht="27" customHeight="1" thickBot="1" x14ac:dyDescent="0.25">
      <c r="B76" s="103"/>
      <c r="C76" s="62" t="s">
        <v>42</v>
      </c>
      <c r="D76" s="63"/>
      <c r="E76" s="67">
        <f>E72+E73</f>
        <v>0.49809854497358352</v>
      </c>
      <c r="F76" s="24" t="s">
        <v>2</v>
      </c>
      <c r="G76" s="8"/>
      <c r="H76" s="433" t="s">
        <v>62</v>
      </c>
      <c r="I76" s="434"/>
      <c r="J76" s="46">
        <f>IF('Tank Summary'!K15="n","",(((((SUM(F53:F67)/SUM(B53:B67))*10^6/7.48)^(1/3))*$J$71)/9)*12)</f>
        <v>4.4728565112378265</v>
      </c>
      <c r="K76" s="3" t="s">
        <v>35</v>
      </c>
      <c r="L76" s="8"/>
      <c r="M76" s="8"/>
      <c r="N76" s="8"/>
      <c r="O76" s="105"/>
    </row>
    <row r="77" spans="2:15" ht="14.25" customHeight="1" x14ac:dyDescent="0.2">
      <c r="B77" s="103"/>
      <c r="C77" s="41" t="s">
        <v>61</v>
      </c>
      <c r="D77" s="59"/>
      <c r="E77" s="38">
        <f>E70/E76</f>
        <v>4.3249273095432354E-2</v>
      </c>
      <c r="F77" s="5" t="s">
        <v>3</v>
      </c>
      <c r="G77" s="8"/>
      <c r="H77" s="8"/>
      <c r="I77" s="435" t="str">
        <f>IF('Tank Summary'!K15="n","",IF(J73&lt;J74,"Mixing is at an undesirable level, use Mixing Analysis (Section II) to determine strategies that will increase mixing.","Mixing is at a desired level."))</f>
        <v>Mixing is at an undesirable level, use Mixing Analysis (Section II) to determine strategies that will increase mixing.</v>
      </c>
      <c r="J77" s="435"/>
      <c r="K77" s="435"/>
      <c r="L77" s="436"/>
      <c r="M77" s="8"/>
      <c r="N77" s="8"/>
      <c r="O77" s="105"/>
    </row>
    <row r="78" spans="2:15" x14ac:dyDescent="0.2">
      <c r="B78" s="103"/>
      <c r="C78" s="41" t="s">
        <v>48</v>
      </c>
      <c r="D78" s="59"/>
      <c r="E78" s="38">
        <f>AVERAGE(I53:I67)</f>
        <v>0.19911759999999998</v>
      </c>
      <c r="F78" s="5" t="s">
        <v>5</v>
      </c>
      <c r="G78" s="8"/>
      <c r="H78" s="8"/>
      <c r="I78" s="436"/>
      <c r="J78" s="436"/>
      <c r="K78" s="436"/>
      <c r="L78" s="436"/>
      <c r="M78" s="8"/>
      <c r="N78" s="8"/>
      <c r="O78" s="105"/>
    </row>
    <row r="79" spans="2:15" ht="13.5" thickBot="1" x14ac:dyDescent="0.25">
      <c r="B79" s="103"/>
      <c r="C79" s="44" t="s">
        <v>9</v>
      </c>
      <c r="D79" s="42"/>
      <c r="E79" s="57">
        <f>E78/E77</f>
        <v>4.603952523332218</v>
      </c>
      <c r="F79" s="6" t="s">
        <v>2</v>
      </c>
      <c r="G79" s="8"/>
      <c r="H79" s="8"/>
      <c r="I79" s="436"/>
      <c r="J79" s="436"/>
      <c r="K79" s="436"/>
      <c r="L79" s="436"/>
      <c r="M79" s="8"/>
      <c r="N79" s="8"/>
      <c r="O79" s="105"/>
    </row>
    <row r="80" spans="2:15" ht="12.75" customHeight="1" x14ac:dyDescent="0.2">
      <c r="B80" s="103"/>
      <c r="C80" s="104"/>
      <c r="D80" s="427" t="str">
        <f>IF(E79&gt;5, "Turnover time is at an undesirable level, use Turnover Time Analysis (Step 2) to determine operational strategies that will reduce turnover time.","Turnover Time is at a desired level.")</f>
        <v>Turnover Time is at a desired level.</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Longest Sidewall Length</v>
      </c>
      <c r="D94" s="33">
        <f>Example!D10</f>
        <v>50</v>
      </c>
      <c r="E94" s="69">
        <f>$D$94</f>
        <v>50</v>
      </c>
      <c r="F94" s="69">
        <f>$D$94</f>
        <v>50</v>
      </c>
      <c r="G94" s="69">
        <f>$D$94</f>
        <v>50</v>
      </c>
      <c r="H94" s="69">
        <f>$D$94</f>
        <v>50</v>
      </c>
      <c r="I94" s="69">
        <f>$D$94</f>
        <v>50</v>
      </c>
      <c r="J94" s="106" t="str">
        <f>IF(D8="y","","ft")</f>
        <v>ft</v>
      </c>
      <c r="K94" s="106"/>
      <c r="L94" s="8"/>
      <c r="M94" s="8"/>
      <c r="N94" s="8"/>
      <c r="O94" s="105"/>
    </row>
    <row r="95" spans="2:15" x14ac:dyDescent="0.2">
      <c r="B95" s="103"/>
      <c r="C95" s="106" t="str">
        <f>IF(OR($D$7="c",D7="h"),"",IF($D$7="r","Shortest Sidewall Length",""))</f>
        <v>Shortest Sidewall Length</v>
      </c>
      <c r="D95" s="35">
        <f>Example!D11</f>
        <v>30</v>
      </c>
      <c r="E95" s="69">
        <f>$D$95</f>
        <v>30</v>
      </c>
      <c r="F95" s="69">
        <f>$D$95</f>
        <v>30</v>
      </c>
      <c r="G95" s="69">
        <f>$D$95</f>
        <v>30</v>
      </c>
      <c r="H95" s="69">
        <f>$D$95</f>
        <v>30</v>
      </c>
      <c r="I95" s="69">
        <f>$D$95</f>
        <v>30</v>
      </c>
      <c r="J95" s="106" t="str">
        <f>IF(D8="y","","ft")</f>
        <v>ft</v>
      </c>
      <c r="K95" s="106"/>
      <c r="L95" s="8"/>
      <c r="M95" s="8"/>
      <c r="N95" s="8"/>
      <c r="O95" s="105"/>
    </row>
    <row r="96" spans="2:15" x14ac:dyDescent="0.2">
      <c r="B96" s="103"/>
      <c r="C96" s="178" t="s">
        <v>34</v>
      </c>
      <c r="D96" s="135">
        <f>Example!D13</f>
        <v>1</v>
      </c>
      <c r="E96" s="139">
        <v>1</v>
      </c>
      <c r="F96" s="139">
        <v>1</v>
      </c>
      <c r="G96" s="139">
        <v>1</v>
      </c>
      <c r="H96" s="139">
        <v>0.5</v>
      </c>
      <c r="I96" s="139">
        <v>0.5</v>
      </c>
      <c r="J96" s="106" t="s">
        <v>1</v>
      </c>
      <c r="K96" s="106"/>
      <c r="L96" s="8"/>
      <c r="M96" s="8"/>
      <c r="N96" s="8"/>
      <c r="O96" s="105"/>
    </row>
    <row r="97" spans="2:15" x14ac:dyDescent="0.2">
      <c r="B97" s="103"/>
      <c r="C97" s="178" t="str">
        <f>IF(D8="y","Fraction Full (Max Level)","High/Max Level")</f>
        <v>High/Max Level</v>
      </c>
      <c r="D97" s="83">
        <f>IF(OR($D$7="c",$D$7="r",$D$7="h"),(SUM(E53:E67)/COUNTIF(E53:E67,"&gt;0")),IF($D$8="y",(SUM(E53:E67)/COUNTIF(E53:E67,"&gt;0"))/($D$6*10^6)))</f>
        <v>18.706666666666667</v>
      </c>
      <c r="E97" s="139">
        <v>17</v>
      </c>
      <c r="F97" s="139">
        <v>18.71</v>
      </c>
      <c r="G97" s="139">
        <v>18</v>
      </c>
      <c r="H97" s="139">
        <v>18.71</v>
      </c>
      <c r="I97" s="139">
        <v>18.71</v>
      </c>
      <c r="J97" s="106" t="str">
        <f>IF(D8="y","","ft")</f>
        <v>ft</v>
      </c>
      <c r="K97" s="106"/>
      <c r="L97" s="8"/>
      <c r="M97" s="8"/>
      <c r="N97" s="8"/>
      <c r="O97" s="105"/>
    </row>
    <row r="98" spans="2:15" x14ac:dyDescent="0.2">
      <c r="B98" s="103"/>
      <c r="C98" s="178" t="str">
        <f>IF(D8="y","Fraction Full (Min Level)","Low/Min Level")</f>
        <v>Low/Min Level</v>
      </c>
      <c r="D98" s="83">
        <f>IF(OR($D$7="c",$D$7="r",$D$7="s",$D$7="h"),(SUM(D53:D67)/COUNTIF(D53:D67,"&gt;0")),IF($D$8="y",(SUM(D53:D67)/COUNTIF(D53:D67,"&gt;0"))/($D$6*10^6)))</f>
        <v>16.786666666666669</v>
      </c>
      <c r="E98" s="139">
        <v>15</v>
      </c>
      <c r="F98" s="139">
        <v>15</v>
      </c>
      <c r="G98" s="139">
        <v>16.79</v>
      </c>
      <c r="H98" s="139">
        <v>16.79</v>
      </c>
      <c r="I98" s="139">
        <v>15</v>
      </c>
      <c r="J98" s="106" t="str">
        <f>IF(D8="y","","ft")</f>
        <v>ft</v>
      </c>
      <c r="K98" s="106"/>
      <c r="L98" s="8"/>
      <c r="M98" s="8"/>
      <c r="N98" s="8"/>
      <c r="O98" s="105"/>
    </row>
    <row r="99" spans="2:15" ht="15.75" x14ac:dyDescent="0.25">
      <c r="B99" s="103"/>
      <c r="C99" s="136" t="str">
        <f>IF(OR(D7="c", D7="r",D7="h"),"H/D ratio","")</f>
        <v>H/D ratio</v>
      </c>
      <c r="D99" s="135">
        <f t="shared" ref="D99:I99" si="10">IF(OR($D$7="c", $D$7="r",$D$7="h"),D97/D94,"")</f>
        <v>0.37413333333333332</v>
      </c>
      <c r="E99" s="135">
        <f t="shared" si="10"/>
        <v>0.34</v>
      </c>
      <c r="F99" s="135">
        <f t="shared" si="10"/>
        <v>0.37420000000000003</v>
      </c>
      <c r="G99" s="135">
        <f t="shared" si="10"/>
        <v>0.36</v>
      </c>
      <c r="H99" s="135">
        <f t="shared" si="10"/>
        <v>0.37420000000000003</v>
      </c>
      <c r="I99" s="135">
        <f t="shared" si="10"/>
        <v>0.37420000000000003</v>
      </c>
      <c r="J99" s="148"/>
      <c r="K99" s="164"/>
      <c r="L99" s="8"/>
      <c r="M99" s="8"/>
      <c r="N99" s="8"/>
      <c r="O99" s="105"/>
    </row>
    <row r="100" spans="2:15" x14ac:dyDescent="0.2">
      <c r="B100" s="103"/>
      <c r="C100" s="134" t="str">
        <f>IF(D8="y","Actual Vol Change","Actual Level Change")</f>
        <v>Actual Level Change</v>
      </c>
      <c r="D100" s="135">
        <f>Example!J73</f>
        <v>1.9199999999999982</v>
      </c>
      <c r="E100" s="83">
        <f>IF(OR($D$7="c",$D$7="h",$D$7="r"),E97-E98,IF($D$8="y",($D$6*10^6)*(E97-E98),""))</f>
        <v>2</v>
      </c>
      <c r="F100" s="83">
        <f>IF(OR($D$7="c",$D$7="h",$D$7="r"),F97-F98,IF($D$8="y",($D$6*10^6)*(F97-F98),""))</f>
        <v>3.7100000000000009</v>
      </c>
      <c r="G100" s="83">
        <f>IF(OR($D$7="c",$D$7="h",$D$7="r"),G97-G98,IF($D$8="y",($D$6*10^6)*(G97-G98),""))</f>
        <v>1.2100000000000009</v>
      </c>
      <c r="H100" s="83">
        <f>IF(OR($D$7="c",$D$7="h",$D$7="r"),H97-H98,IF($D$8="y",($D$6*10^6)*(H97-H98),""))</f>
        <v>1.9200000000000017</v>
      </c>
      <c r="I100" s="83">
        <f>IF(OR($D$7="c",$D$7="h",$D$7="r"),I97-I98,IF($D$8="y",($D$6*10^6)*(I97-I98),""))</f>
        <v>3.7100000000000009</v>
      </c>
      <c r="J100" s="106" t="str">
        <f>IF(OR(D7="c",D7="r"),"ft",IF(AND(D7="n",D8="y"),"gal",""))</f>
        <v>ft</v>
      </c>
      <c r="K100" s="106"/>
      <c r="L100" s="8"/>
      <c r="M100" s="8"/>
      <c r="N100" s="8"/>
      <c r="O100" s="105"/>
    </row>
    <row r="101" spans="2:15" ht="25.5" x14ac:dyDescent="0.2">
      <c r="B101" s="103"/>
      <c r="C101" s="134" t="s">
        <v>112</v>
      </c>
      <c r="D101" s="135">
        <f>IF('Tank Summary'!$K$15="y",10.2, IF(D97/$D$10&lt;=1,10.2,IF(D97/$D$10&gt;1,3.58*(D97/$D$10)+6.66)))</f>
        <v>10.199999999999999</v>
      </c>
      <c r="E101" s="135">
        <f>IF('Tank Summary'!$K$15="y",10.2, IF(E97/$D$10&lt;=1,10.2,IF(E97/$D$10&gt;1,3.58*(E97/$D$10)+6.66)))</f>
        <v>10.199999999999999</v>
      </c>
      <c r="F101" s="135">
        <f>IF('Tank Summary'!$K$15="y",10.2, IF(F97/$D$10&lt;=1,10.2,IF(F97/$D$10&gt;1,3.58*(F97/$D$10)+6.66)))</f>
        <v>10.199999999999999</v>
      </c>
      <c r="G101" s="135">
        <f>IF('Tank Summary'!$K$15="y",10.2, IF(G97/$D$10&lt;=1,10.2,IF(G97/$D$10&gt;1,3.58*(G97/$D$10)+6.66)))</f>
        <v>10.199999999999999</v>
      </c>
      <c r="H101" s="135">
        <f>IF('Tank Summary'!$K$15="y",10.2, IF(H97/$D$10&lt;=1,10.2,IF(H97/$D$10&gt;1,3.58*(H97/$D$10)+6.66)))</f>
        <v>10.199999999999999</v>
      </c>
      <c r="I101" s="135">
        <f>IF('Tank Summary'!$K$15="y",10.2, IF(I97/$D$10&lt;=1,10.2,IF(I97/$D$10&gt;1,3.58*(I97/$D$10)+6.66)))</f>
        <v>10.199999999999999</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f>Example!J74</f>
        <v>5.1702203340924475</v>
      </c>
      <c r="E102" s="83">
        <f>IF(OR($D$7="c",$D$7="h"),(((E101/1.13)*E96)/((E98*PI()*(E94/2)^2)^(1/3)))*E98,IF($D$7="r",(((E101/1.13)*E96)/((E98*E94*E95)^(1/3)))*E98,IF($D$8="y",(((E101/1.13)*E96)/(((E98*$D$6*10^6)/7.480519)^(1/3)))*(E98*$D$6*10^6),"")))</f>
        <v>4.7960696485232903</v>
      </c>
      <c r="F102" s="83">
        <f>IF(OR($D$7="c",$D$7="h"),(((F101/1.13)*F96)/((F98*PI()*(F94/2)^2)^(1/3)))*F98,IF($D$7="r",(((F101/1.13)*F96)/((F98*F94*F95)^(1/3)))*F98,IF($D$8="y",(((F101/1.13)*F96)/(((F98*$D$6*10^6)/7.480519)^(1/3)))*(F98*$D$6*10^6),"")))</f>
        <v>4.7960696485232903</v>
      </c>
      <c r="G102" s="83">
        <f>IF(OR($D$7="c",$D$7="h"),(((G101/1.13)*G96)/((G98*PI()*(G94/2)^2)^(1/3)))*G98,IF($D$7="r",(((G101/1.13)*G96)/((G98*G94*G95)^(1/3)))*G98,IF($D$8="y",(((G101/1.13)*G96)/(((G98*$D$6*10^6)/7.480519)^(1/3)))*(G98*$D$6*10^6),"")))</f>
        <v>5.1704114660414895</v>
      </c>
      <c r="H102" s="83">
        <f>IF(OR($D$7="c",$D$7="h"),(((H101/1.13)*H96)/((H98*PI()*(H94/2)^2)^(1/3)))*H98,IF($D$7="r",(((H101/1.13)*H96)/((H98*H94*H95)^(1/3)))*H98,IF($D$8="y",(((H101/1.13)*H96)/(((H98*$D$6*10^6)/7.480519)^(1/3)))*(H98*$D$6*10^6),"")))</f>
        <v>2.5852057330207447</v>
      </c>
      <c r="I102" s="83">
        <f>IF(OR($D$7="c",$D$7="h"),(((I101/1.13)*I96)/((I98*PI()*(I94/2)^2)^(1/3)))*I98,IF($D$7="r",(((I101/1.13)*I96)/((I98*I94*I95)^(1/3)))*I98,IF($D$8="y",(((I101/1.13)*I96)/(((I98*$D$6*10^6)/7.480519)^(1/3)))*(I98*$D$6*10^6),"")))</f>
        <v>2.3980348242616452</v>
      </c>
      <c r="J102" s="106" t="str">
        <f>IF(OR(D7="c",D7="r"),"ft",IF(AND(D7="n",D8="y"),"gal",""))</f>
        <v>ft</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0.77344877344877438</v>
      </c>
      <c r="F103" s="12">
        <f>IF($D$8="y","",($D$98-F98)/2.31)</f>
        <v>0.77344877344877438</v>
      </c>
      <c r="G103" s="12">
        <f>IF($D$8="y","",($D$98-G98)/2.31)</f>
        <v>-1.4430014430001305E-3</v>
      </c>
      <c r="H103" s="12">
        <f>IF($D$8="y","",($D$98-H98)/2.31)</f>
        <v>-1.4430014430001305E-3</v>
      </c>
      <c r="I103" s="12">
        <f>IF($D$8="y","",($D$98-I98)/2.31)</f>
        <v>0.77344877344877438</v>
      </c>
      <c r="J103" s="106" t="str">
        <f>IF(OR(D7="c",D7="r",D7="h"),"psi",IF(AND(D7="n",D8="y"),"",""))</f>
        <v>psi</v>
      </c>
      <c r="K103" s="106"/>
      <c r="L103" s="8"/>
      <c r="M103" s="8"/>
      <c r="N103" s="8"/>
      <c r="O103" s="105"/>
    </row>
    <row r="104" spans="2:15" x14ac:dyDescent="0.2">
      <c r="B104" s="103"/>
      <c r="C104" s="134" t="s">
        <v>33</v>
      </c>
      <c r="D104" s="35">
        <f>Example!E74</f>
        <v>54.40981417999663</v>
      </c>
      <c r="E104" s="35">
        <f>D104</f>
        <v>54.40981417999663</v>
      </c>
      <c r="F104" s="35">
        <f>E104</f>
        <v>54.40981417999663</v>
      </c>
      <c r="G104" s="35">
        <f>F104</f>
        <v>54.40981417999663</v>
      </c>
      <c r="H104" s="175">
        <f>G104</f>
        <v>54.40981417999663</v>
      </c>
      <c r="I104" s="175">
        <f>H104</f>
        <v>54.40981417999663</v>
      </c>
      <c r="J104" s="106" t="s">
        <v>28</v>
      </c>
      <c r="K104" s="106"/>
      <c r="L104" s="8"/>
      <c r="M104" s="8"/>
      <c r="N104" s="8"/>
      <c r="O104" s="105"/>
    </row>
    <row r="105" spans="2:15" ht="25.5" x14ac:dyDescent="0.2">
      <c r="B105" s="103"/>
      <c r="C105" s="116" t="s">
        <v>32</v>
      </c>
      <c r="D105" s="35">
        <f>Example!E75</f>
        <v>67.090545346834261</v>
      </c>
      <c r="E105" s="35">
        <f>D105</f>
        <v>67.090545346834261</v>
      </c>
      <c r="F105" s="35">
        <f>D105</f>
        <v>67.090545346834261</v>
      </c>
      <c r="G105" s="35">
        <f>D105</f>
        <v>67.090545346834261</v>
      </c>
      <c r="H105" s="175">
        <f>D105</f>
        <v>67.090545346834261</v>
      </c>
      <c r="I105" s="175">
        <f>D105</f>
        <v>67.090545346834261</v>
      </c>
      <c r="J105" s="106" t="s">
        <v>28</v>
      </c>
      <c r="K105" s="106"/>
      <c r="L105" s="8"/>
      <c r="M105" s="8"/>
      <c r="N105" s="8"/>
      <c r="O105" s="105"/>
    </row>
    <row r="106" spans="2:15" x14ac:dyDescent="0.2">
      <c r="B106" s="103"/>
      <c r="C106" s="134" t="s">
        <v>59</v>
      </c>
      <c r="D106" s="11">
        <f>Example!E72</f>
        <v>0.27495039682565092</v>
      </c>
      <c r="E106" s="11">
        <f>ROUND(IF(OR($D$7="c",$D$7="h"),(E97-E98)*PI()*((E94/2)^2)*7.480519/(E104*24*60),IF($D$7="r",(E97-E98)*E94*E95*7.480519/(E104*24*60),IF($D$8="y",((E97*$D$6*10^6)-(E98*$D$6*10^6))/(E104*24*60),""))),2)</f>
        <v>0.28999999999999998</v>
      </c>
      <c r="F106" s="11">
        <f>ROUND(IF(OR($D$7="c",$D$7="h"),(F97-F98)*PI()*((F94/2)^2)*7.480519/(F104*24*60),IF($D$7="r",(F97-F98)*F94*F95*7.480519/(F104*24*60),IF($D$8="y",((F97*$D$6*10^6)-(F98*$D$6*10^6))/(F104*24*60),""))),2)</f>
        <v>0.53</v>
      </c>
      <c r="G106" s="11">
        <f>ROUND(IF(OR($D$7="c",$D$7="h"),(G97-G98)*PI()*((G94/2)^2)*7.480519/(G104*24*60),IF($D$7="r",(G97-G98)*G94*G95*7.480519/(G104*24*60),IF($D$8="y",((G97*$D$6*10^6)-(G98*$D$6*10^6))/(G104*24*60),""))),2)</f>
        <v>0.17</v>
      </c>
      <c r="H106" s="11">
        <f>ROUND(IF(OR($D$7="c",$D$7="h"),(H97-H98)*PI()*((H94/2)^2)*7.480519/(H104*24*60),IF($D$7="r",(H97-H98)*H94*H95*7.480519/(H104*24*60),IF($D$8="y",((H97*$D$6*10^6)-(H98*$D$6*10^6))/(H104*24*60),""))),2)</f>
        <v>0.27</v>
      </c>
      <c r="I106" s="11">
        <f>ROUND(IF(OR($D$7="c",$D$7="h"),(I97-I98)*PI()*((I94/2)^2)*7.480519/(I104*24*60),IF($D$7="r",(I97-I98)*I94*I95*7.480519/(I104*24*60),IF($D$8="y",((I97*$D$6*10^6)-(I98*$D$6*10^6))/(I104*24*60),""))),2)</f>
        <v>0.53</v>
      </c>
      <c r="J106" s="106" t="s">
        <v>2</v>
      </c>
      <c r="K106" s="106"/>
      <c r="L106" s="8"/>
      <c r="M106" s="8"/>
      <c r="N106" s="8"/>
      <c r="O106" s="105"/>
    </row>
    <row r="107" spans="2:15" x14ac:dyDescent="0.2">
      <c r="B107" s="103"/>
      <c r="C107" s="116" t="s">
        <v>60</v>
      </c>
      <c r="D107" s="11">
        <f>Example!E73</f>
        <v>0.22314814814793257</v>
      </c>
      <c r="E107" s="11">
        <f>ROUND(IF(OR($D$7="c",$D$7="h"),(E97-E98)*PI()*((E94/2)^2)*7.480519/(E105*24*60),IF($D$7="r",(E97-E98)*E94*E95*7.480519/(E105*24*60),IF($D$8="y",((E97*$D$6*10^6)-(E98*$D$6*10^6))/(E105*24*60),""))),2)</f>
        <v>0.23</v>
      </c>
      <c r="F107" s="11">
        <f>ROUND(IF(OR($D$7="c",$D$7="h"),(F97-F98)*PI()*((F94/2)^2)*7.480519/(F105*24*60),IF($D$7="r",(F97-F98)*F94*F95*7.480519/(F105*24*60),IF($D$8="y",((F97*$D$6*10^6)-(F98*$D$6*10^6))/(F105*24*60),""))),2)</f>
        <v>0.43</v>
      </c>
      <c r="G107" s="11">
        <f>ROUND(IF(OR($D$7="c",$D$7="h"),(G97-G98)*PI()*((G94/2)^2)*7.480519/(G105*24*60),IF($D$7="r",(G97-G98)*G94*G95*7.480519/(G105*24*60),IF($D$8="y",((G97*$D$6*10^6)-(G98*$D$6*10^6))/(G105*24*60),""))),2)</f>
        <v>0.14000000000000001</v>
      </c>
      <c r="H107" s="11">
        <f>ROUND(IF(OR($D$7="c",$D$7="h"),(H97-H98)*PI()*((H94/2)^2)*7.480519/(H105*24*60),IF($D$7="r",(H97-H98)*H94*H95*7.480519/(H105*24*60),IF($D$8="y",((H97*$D$6*10^6)-(H98*$D$6*10^6))/(H105*24*60),""))),2)</f>
        <v>0.22</v>
      </c>
      <c r="I107" s="11">
        <f>ROUND(IF(OR($D$7="c",$D$7="h"),(I97-I98)*PI()*((I94/2)^2)*7.480519/(I105*24*60),IF($D$7="r",(I97-I98)*I94*I95*7.480519/(I105*24*60),IF($D$8="y",((I97*$D$6*10^6)-(I98*$D$6*10^6))/(I105*24*60),""))),2)</f>
        <v>0.43</v>
      </c>
      <c r="J107" s="106" t="s">
        <v>2</v>
      </c>
      <c r="K107" s="106"/>
      <c r="L107" s="8"/>
      <c r="M107" s="8"/>
      <c r="N107" s="8"/>
      <c r="O107" s="105"/>
    </row>
    <row r="108" spans="2:15" ht="25.5" x14ac:dyDescent="0.2">
      <c r="B108" s="103"/>
      <c r="C108" s="134" t="s">
        <v>57</v>
      </c>
      <c r="D108" s="11">
        <f>Example!E70</f>
        <v>2.1542400000000007E-2</v>
      </c>
      <c r="E108" s="11">
        <f>IF(OR($D$7="c",$D$7="h"),(E97-E98)*PI()*((E94/2)^2)*7.480519/10^6,IF($D$7="r",(E97-E98)*E94*E95*7.480519/10^6,IF($D$8="y",((E97*$D$6*10^6)-(E98*$D$6*10^6))/10^6,"")))</f>
        <v>2.2441557000000001E-2</v>
      </c>
      <c r="F108" s="11">
        <f>IF(OR($D$7="c",$D$7="h"),(F97-F98)*PI()*((F94/2)^2)*7.480519/10^6,IF($D$7="r",(F97-F98)*F94*F95*7.480519/10^6,IF($D$8="y",((F97*$D$6*10^6)-(F98*$D$6*10^6))/10^6,"")))</f>
        <v>4.1629088235000014E-2</v>
      </c>
      <c r="G108" s="11">
        <f>IF(OR($D$7="c",$D$7="h"),(G97-G98)*PI()*((G94/2)^2)*7.480519/10^6,IF($D$7="r",(G97-G98)*G94*G95*7.480519/10^6,IF($D$8="y",((G97*$D$6*10^6)-(G98*$D$6*10^6))/10^6,"")))</f>
        <v>1.3577141985000011E-2</v>
      </c>
      <c r="H108" s="11">
        <f>IF(OR($D$7="c",$D$7="h"),(H97-H98)*PI()*((H94/2)^2)*7.480519/10^6,IF($D$7="r",(H97-H98)*H94*H95*7.480519/10^6,IF($D$8="y",((H97*$D$6*10^6)-(H98*$D$6*10^6))/10^6,"")))</f>
        <v>2.1543894720000022E-2</v>
      </c>
      <c r="I108" s="11">
        <f>IF(OR($D$7="c",$D$7="h"),(I97-I98)*PI()*((I94/2)^2)*7.480519/10^6,IF($D$7="r",(I97-I98)*I94*I95*7.480519/10^6,IF($D$8="y",((I97*$D$6*10^6)-(I98*$D$6*10^6))/10^6,"")))</f>
        <v>4.1629088235000014E-2</v>
      </c>
      <c r="J108" s="106" t="s">
        <v>5</v>
      </c>
      <c r="K108" s="106"/>
      <c r="L108" s="8"/>
      <c r="M108" s="8"/>
      <c r="N108" s="8"/>
      <c r="O108" s="105"/>
    </row>
    <row r="109" spans="2:15" x14ac:dyDescent="0.2">
      <c r="B109" s="103"/>
      <c r="C109" s="116" t="s">
        <v>58</v>
      </c>
      <c r="D109" s="11">
        <f>Example!E76</f>
        <v>0.49809854497358352</v>
      </c>
      <c r="E109" s="11">
        <f>E107+E106</f>
        <v>0.52</v>
      </c>
      <c r="F109" s="11">
        <f>F107+F106</f>
        <v>0.96</v>
      </c>
      <c r="G109" s="11">
        <f>G107+G106</f>
        <v>0.31000000000000005</v>
      </c>
      <c r="H109" s="11">
        <f>H107+H106</f>
        <v>0.49</v>
      </c>
      <c r="I109" s="11">
        <f>I107+I106</f>
        <v>0.96</v>
      </c>
      <c r="J109" s="106" t="s">
        <v>2</v>
      </c>
      <c r="K109" s="106"/>
      <c r="L109" s="8"/>
      <c r="M109" s="8"/>
      <c r="N109" s="8"/>
      <c r="O109" s="105"/>
    </row>
    <row r="110" spans="2:15" x14ac:dyDescent="0.2">
      <c r="B110" s="103"/>
      <c r="C110" s="134" t="s">
        <v>7</v>
      </c>
      <c r="D110" s="11">
        <f>Example!$E$77</f>
        <v>4.3249273095432354E-2</v>
      </c>
      <c r="E110" s="34">
        <f>E108/E109</f>
        <v>4.3156840384615383E-2</v>
      </c>
      <c r="F110" s="34">
        <f>F108/F109</f>
        <v>4.3363633578125019E-2</v>
      </c>
      <c r="G110" s="34">
        <f>G108/G109</f>
        <v>4.3797232209677447E-2</v>
      </c>
      <c r="H110" s="34">
        <f>H108/H109</f>
        <v>4.39671320816327E-2</v>
      </c>
      <c r="I110" s="34">
        <f>I108/I109</f>
        <v>4.3363633578125019E-2</v>
      </c>
      <c r="J110" s="106" t="s">
        <v>3</v>
      </c>
      <c r="K110" s="106"/>
      <c r="L110" s="8"/>
      <c r="M110" s="8"/>
      <c r="N110" s="8"/>
      <c r="O110" s="105"/>
    </row>
    <row r="111" spans="2:15" x14ac:dyDescent="0.2">
      <c r="B111" s="103"/>
      <c r="C111" s="116" t="s">
        <v>6</v>
      </c>
      <c r="D111" s="11">
        <f>Example!$E$78</f>
        <v>0.19911759999999998</v>
      </c>
      <c r="E111" s="34">
        <f>IF(OR($D$7="c",$D$7="h"),((E97+E98)/2)*PI()*((E94/2)^2)*7.480519/10^6,IF($D$7="r",((E97+E98)/2)*E94*E95*7.480519/10^6,IF($D$8="y",(((E97*$D$6*10^6)+(E98*$D$6*10^6))/2)/10^6,"")))</f>
        <v>0.17953245600000001</v>
      </c>
      <c r="F111" s="34">
        <f>IF(OR($D$7="c",$D$7="h"),((F97+F98)/2)*PI()*((F94/2)^2)*7.480519/10^6,IF($D$7="r",((F97+F98)/2)*F94*F95*7.480519/10^6,IF($D$8="y",(((F97*$D$6*10^6)+(F98*$D$6*10^6))/2)/10^6,"")))</f>
        <v>0.18912622161750001</v>
      </c>
      <c r="G111" s="34">
        <f>IF(OR($D$7="c",$D$7="h"),((G97+G98)/2)*PI()*((G94/2)^2)*7.480519/10^6,IF($D$7="r",((G97+G98)/2)*G94*G95*7.480519/10^6,IF($D$8="y",(((G97*$D$6*10^6)+(G98*$D$6*10^6))/2)/10^6,"")))</f>
        <v>0.19518544200750002</v>
      </c>
      <c r="H111" s="34">
        <f>IF(OR($D$7="c",$D$7="h"),((H97+H98)/2)*PI()*((H94/2)^2)*7.480519/10^6,IF($D$7="r",((H97+H98)/2)*H94*H95*7.480519/10^6,IF($D$8="y",(((H97*$D$6*10^6)+(H98*$D$6*10^6))/2)/10^6,"")))</f>
        <v>0.199168818375</v>
      </c>
      <c r="I111" s="34">
        <f>IF(OR($D$7="c",$D$7="h"),((I97+I98)/2)*PI()*((I94/2)^2)*7.480519/10^6,IF($D$7="r",((I97+I98)/2)*I94*I95*7.480519/10^6,IF($D$8="y",(((I97*$D$6*10^6)+(I98*$D$6*10^6))/2)/10^6,"")))</f>
        <v>0.18912622161750001</v>
      </c>
      <c r="J111" s="106" t="s">
        <v>5</v>
      </c>
      <c r="K111" s="106"/>
      <c r="L111" s="8"/>
      <c r="M111" s="8"/>
      <c r="N111" s="8"/>
      <c r="O111" s="105"/>
    </row>
    <row r="112" spans="2:15" ht="25.5" x14ac:dyDescent="0.2">
      <c r="B112" s="103"/>
      <c r="C112" s="153" t="s">
        <v>65</v>
      </c>
      <c r="D112" s="154">
        <f>Example!J75</f>
        <v>0.37135748109988903</v>
      </c>
      <c r="E112" s="155">
        <f>E100/E102</f>
        <v>0.41700812260218112</v>
      </c>
      <c r="F112" s="155">
        <f>F100/F102</f>
        <v>0.77355006742704613</v>
      </c>
      <c r="G112" s="155">
        <f>G100/G102</f>
        <v>0.23402392787249232</v>
      </c>
      <c r="H112" s="155">
        <f>H100/H102</f>
        <v>0.74268750663667005</v>
      </c>
      <c r="I112" s="155">
        <f>I100/I102</f>
        <v>1.5471001348540923</v>
      </c>
      <c r="J112" s="106"/>
      <c r="K112" s="106"/>
      <c r="L112" s="8"/>
      <c r="M112" s="8"/>
      <c r="N112" s="8"/>
      <c r="O112" s="105"/>
    </row>
    <row r="113" spans="2:15" x14ac:dyDescent="0.2">
      <c r="B113" s="103"/>
      <c r="C113" s="153" t="s">
        <v>9</v>
      </c>
      <c r="D113" s="156">
        <f>Example!$E$79</f>
        <v>4.603952523332218</v>
      </c>
      <c r="E113" s="156">
        <f>E111/E110</f>
        <v>4.16</v>
      </c>
      <c r="F113" s="156">
        <f>F111/F110</f>
        <v>4.3614016172506718</v>
      </c>
      <c r="G113" s="156">
        <f>G111/G110</f>
        <v>4.4565702479338816</v>
      </c>
      <c r="H113" s="156">
        <f>H111/H110</f>
        <v>4.5299479166666616</v>
      </c>
      <c r="I113" s="156">
        <f>I111/I110</f>
        <v>4.3614016172506718</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245</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f>IF(OR($D$7="c",$D$7="r",D7="h"),(SUM(E53:E67)/COUNTIF(E53:E67,"&gt;0")),IF($D$8="y",(SUM(E53:E67)/COUNTIF(E53:E67,"&gt;0"))/($D$6*10^6)))</f>
        <v>18.706666666666667</v>
      </c>
      <c r="E123" s="150">
        <f t="shared" ref="E123:I124" si="11">E97</f>
        <v>17</v>
      </c>
      <c r="F123" s="150">
        <f t="shared" si="11"/>
        <v>18.71</v>
      </c>
      <c r="G123" s="150">
        <f t="shared" si="11"/>
        <v>18</v>
      </c>
      <c r="H123" s="150">
        <f t="shared" si="11"/>
        <v>18.71</v>
      </c>
      <c r="I123" s="150">
        <f t="shared" si="11"/>
        <v>18.71</v>
      </c>
      <c r="J123" s="106" t="str">
        <f>IF(D49="y","","ft")</f>
        <v>ft</v>
      </c>
      <c r="K123" s="106"/>
      <c r="L123" s="8"/>
      <c r="M123" s="8"/>
      <c r="N123" s="8"/>
      <c r="O123" s="105"/>
    </row>
    <row r="124" spans="2:15" hidden="1" x14ac:dyDescent="0.2">
      <c r="B124" s="103"/>
      <c r="C124" s="134" t="str">
        <f>IF(D49="y","Fraction Full (Min Level)","Low/Min Level")</f>
        <v>Low/Min Level</v>
      </c>
      <c r="D124" s="146">
        <f>IF(OR($D$7="c",$D$7="r",D7="h"),(SUM(D53:D67)/COUNTIF(D53:D67,"&gt;0")),IF($D$8="y",(SUM(D53:D67)/COUNTIF(D53:D67,"&gt;0"))/($D$6*10^6)))</f>
        <v>16.786666666666669</v>
      </c>
      <c r="E124" s="150">
        <f t="shared" si="11"/>
        <v>15</v>
      </c>
      <c r="F124" s="150">
        <f t="shared" si="11"/>
        <v>15</v>
      </c>
      <c r="G124" s="150">
        <f t="shared" si="11"/>
        <v>16.79</v>
      </c>
      <c r="H124" s="150">
        <f t="shared" si="11"/>
        <v>16.79</v>
      </c>
      <c r="I124" s="150">
        <f t="shared" si="11"/>
        <v>15</v>
      </c>
      <c r="J124" s="106" t="str">
        <f>IF(D49="y","","ft")</f>
        <v>ft</v>
      </c>
      <c r="K124" s="106"/>
      <c r="L124" s="8"/>
      <c r="M124" s="8"/>
      <c r="N124" s="8"/>
      <c r="O124" s="105"/>
    </row>
    <row r="125" spans="2:15" ht="24.75" hidden="1" customHeight="1" x14ac:dyDescent="0.2">
      <c r="B125" s="103"/>
      <c r="C125" s="153" t="s">
        <v>102</v>
      </c>
      <c r="D125" s="157">
        <f>D112</f>
        <v>0.37135748109988903</v>
      </c>
      <c r="E125" s="157">
        <f t="shared" ref="E125:I126" si="12">E112</f>
        <v>0.41700812260218112</v>
      </c>
      <c r="F125" s="157">
        <f t="shared" si="12"/>
        <v>0.77355006742704613</v>
      </c>
      <c r="G125" s="157">
        <f t="shared" si="12"/>
        <v>0.23402392787249232</v>
      </c>
      <c r="H125" s="157">
        <f t="shared" si="12"/>
        <v>0.74268750663667005</v>
      </c>
      <c r="I125" s="157">
        <f t="shared" si="12"/>
        <v>1.5471001348540923</v>
      </c>
      <c r="J125" s="106"/>
      <c r="K125" s="106"/>
      <c r="L125" s="8"/>
      <c r="M125" s="8"/>
      <c r="N125" s="8"/>
      <c r="O125" s="105"/>
    </row>
    <row r="126" spans="2:15" hidden="1" x14ac:dyDescent="0.2">
      <c r="B126" s="103"/>
      <c r="C126" s="153" t="s">
        <v>9</v>
      </c>
      <c r="D126" s="158">
        <f>D113</f>
        <v>4.603952523332218</v>
      </c>
      <c r="E126" s="156">
        <f t="shared" si="12"/>
        <v>4.16</v>
      </c>
      <c r="F126" s="156">
        <f t="shared" si="12"/>
        <v>4.3614016172506718</v>
      </c>
      <c r="G126" s="156">
        <f t="shared" si="12"/>
        <v>4.4565702479338816</v>
      </c>
      <c r="H126" s="156">
        <f t="shared" si="12"/>
        <v>4.5299479166666616</v>
      </c>
      <c r="I126" s="156">
        <f t="shared" si="12"/>
        <v>4.3614016172506718</v>
      </c>
      <c r="J126" s="106" t="s">
        <v>2</v>
      </c>
      <c r="K126" s="106"/>
      <c r="L126" s="8"/>
      <c r="M126" s="8"/>
      <c r="N126" s="8"/>
      <c r="O126" s="105"/>
    </row>
    <row r="127" spans="2:15" ht="38.25" hidden="1" x14ac:dyDescent="0.2">
      <c r="B127" s="103"/>
      <c r="C127" s="178" t="s">
        <v>99</v>
      </c>
      <c r="D127" s="162">
        <v>0.14929999999999999</v>
      </c>
      <c r="E127" s="179">
        <f>D127</f>
        <v>0.14929999999999999</v>
      </c>
      <c r="F127" s="179">
        <f>D127</f>
        <v>0.14929999999999999</v>
      </c>
      <c r="G127" s="179">
        <f>D127</f>
        <v>0.14929999999999999</v>
      </c>
      <c r="H127" s="179">
        <f>D127</f>
        <v>0.14929999999999999</v>
      </c>
      <c r="I127" s="179">
        <f>D127</f>
        <v>0.14929999999999999</v>
      </c>
      <c r="J127" s="106" t="s">
        <v>90</v>
      </c>
      <c r="K127" s="106"/>
      <c r="L127" s="8"/>
      <c r="M127" s="8"/>
      <c r="N127" s="8"/>
      <c r="O127" s="105"/>
    </row>
    <row r="128" spans="2:15" ht="25.5" hidden="1" x14ac:dyDescent="0.2">
      <c r="B128" s="103"/>
      <c r="C128" s="134" t="s">
        <v>95</v>
      </c>
      <c r="D128" s="135">
        <f>SUM(F53:F67)/COUNTIF(F53:F67,"&gt;0")</f>
        <v>0.1883464</v>
      </c>
      <c r="E128" s="135">
        <f>IF(OR($D$7="c",$D$7="h"),(E98)*PI()*($D$10/2)^2*7.48/10^6,IF($D$7="r",E98*$D$10*$D$11*7.48/10^6,IF($D$8="y",E98/10^6,"error")))</f>
        <v>0.16830000000000001</v>
      </c>
      <c r="F128" s="135">
        <f>IF(OR($D$7="c",$D$7="h"),(F98)*PI()*($D$10/2)^2*7.48/10^6,IF($D$7="r",F98*$D$10*$D$11*7.48/10^6,IF($D$8="y",F98/10^6,"error")))</f>
        <v>0.16830000000000001</v>
      </c>
      <c r="G128" s="135">
        <f>IF(OR($D$7="c",$D$7="h"),(G98)*PI()*($D$10/2)^2*7.48/10^6,IF($D$7="r",G98*$D$10*$D$11*7.48/10^6,IF($D$8="y",G98/10^6,"error")))</f>
        <v>0.18838380000000002</v>
      </c>
      <c r="H128" s="135">
        <f>IF(OR($D$7="c",$D$7="h"),(H98)*PI()*($D$10/2)^2*7.48/10^6,IF($D$7="r",H98*$D$10*$D$11*7.48/10^6,IF($D$8="y",H98/10^6,"error")))</f>
        <v>0.18838380000000002</v>
      </c>
      <c r="I128" s="135">
        <f>IF(OR($D$7="c",$D$7="h"),(I98)*PI()*($D$10/2)^2*7.48/10^6,IF($D$7="r",I98*$D$10*$D$11*7.48/10^6,IF($D$8="y",I98/10^6,"error")))</f>
        <v>0.16830000000000001</v>
      </c>
      <c r="J128" s="106" t="s">
        <v>5</v>
      </c>
      <c r="K128" s="106"/>
      <c r="L128" s="8"/>
      <c r="M128" s="8"/>
      <c r="N128" s="8"/>
      <c r="O128" s="105"/>
    </row>
    <row r="129" spans="2:15" ht="38.25" hidden="1" x14ac:dyDescent="0.2">
      <c r="B129" s="103"/>
      <c r="C129" s="136" t="s">
        <v>96</v>
      </c>
      <c r="D129" s="135">
        <f>SUM(F53:F67)/COUNTIF(F53:F67,"&gt;0")+SUM(G53:G67)/COUNTIF(G53:G67,"&gt;0")</f>
        <v>0.20988880000000001</v>
      </c>
      <c r="E129" s="11">
        <f>IF(OR($D$7="c",$D$7="h"),(E97)*PI()*($D$10/2)^2*7.48/10^6,IF($D$7="r",E97*$D$10*$D$11*7.48/10^6,IF($D$8="y",E97/10^6,"error")))</f>
        <v>0.19073999999999999</v>
      </c>
      <c r="F129" s="11">
        <f>IF(OR($D$7="c",$D$7="h"),(F97)*PI()*($D$10/2)^2*7.48/10^6,IF($D$7="r",F97*$D$10*$D$11*7.48/10^6,IF($D$8="y",F97/10^6,"error")))</f>
        <v>0.20992620000000001</v>
      </c>
      <c r="G129" s="11">
        <f>IF(OR($D$7="c",$D$7="h"),(G97)*PI()*($D$10/2)^2*7.48/10^6,IF($D$7="r",G97*$D$10*$D$11*7.48/10^6,IF($D$8="y",G97/10^6,"error")))</f>
        <v>0.20196</v>
      </c>
      <c r="H129" s="11">
        <f>IF(OR($D$7="c",$D$7="h"),(H97)*PI()*($D$10/2)^2*7.48/10^6,IF($D$7="r",H97*$D$10*$D$11*7.48/10^6,IF($D$8="y",H97/10^6,"error")))</f>
        <v>0.20992620000000001</v>
      </c>
      <c r="I129" s="11">
        <f>IF(OR($D$7="c",$D$7="h"),(I97)*PI()*($D$10/2)^2*7.48/10^6,IF($D$7="r",I97*$D$10*$D$11*7.48/10^6,IF($D$8="y",I97/10^6,"error")))</f>
        <v>0.20992620000000001</v>
      </c>
      <c r="J129" s="106" t="s">
        <v>5</v>
      </c>
      <c r="K129" s="106"/>
      <c r="L129" s="8"/>
      <c r="M129" s="8"/>
      <c r="N129" s="8"/>
      <c r="O129" s="105"/>
    </row>
    <row r="130" spans="2:15" hidden="1" x14ac:dyDescent="0.2">
      <c r="B130" s="103"/>
      <c r="C130" s="134" t="s">
        <v>98</v>
      </c>
      <c r="D130" s="135">
        <f t="shared" ref="D130:I131" si="13">D106</f>
        <v>0.27495039682565092</v>
      </c>
      <c r="E130" s="135">
        <f t="shared" si="13"/>
        <v>0.28999999999999998</v>
      </c>
      <c r="F130" s="135">
        <f t="shared" si="13"/>
        <v>0.53</v>
      </c>
      <c r="G130" s="135">
        <f t="shared" si="13"/>
        <v>0.17</v>
      </c>
      <c r="H130" s="135">
        <f t="shared" si="13"/>
        <v>0.27</v>
      </c>
      <c r="I130" s="135">
        <f t="shared" si="13"/>
        <v>0.53</v>
      </c>
      <c r="J130" s="106" t="s">
        <v>2</v>
      </c>
      <c r="K130" s="106"/>
      <c r="L130" s="8"/>
      <c r="M130" s="8"/>
      <c r="N130" s="8"/>
      <c r="O130" s="105"/>
    </row>
    <row r="131" spans="2:15" hidden="1" x14ac:dyDescent="0.2">
      <c r="B131" s="103"/>
      <c r="C131" s="134" t="s">
        <v>97</v>
      </c>
      <c r="D131" s="146">
        <f t="shared" si="13"/>
        <v>0.22314814814793257</v>
      </c>
      <c r="E131" s="146">
        <f t="shared" si="13"/>
        <v>0.23</v>
      </c>
      <c r="F131" s="146">
        <f t="shared" si="13"/>
        <v>0.43</v>
      </c>
      <c r="G131" s="146">
        <f t="shared" si="13"/>
        <v>0.14000000000000001</v>
      </c>
      <c r="H131" s="146">
        <f t="shared" si="13"/>
        <v>0.22</v>
      </c>
      <c r="I131" s="146">
        <f t="shared" si="13"/>
        <v>0.43</v>
      </c>
      <c r="J131" s="106" t="s">
        <v>2</v>
      </c>
      <c r="K131" s="106"/>
      <c r="L131" s="8"/>
      <c r="M131" s="8"/>
      <c r="N131" s="8"/>
      <c r="O131" s="105"/>
    </row>
    <row r="132" spans="2:15" ht="38.25" hidden="1" x14ac:dyDescent="0.2">
      <c r="B132" s="103"/>
      <c r="C132" s="134" t="s">
        <v>106</v>
      </c>
      <c r="D132" s="160">
        <f t="shared" ref="D132:I132" si="14">(D128/(D129-D128))*(D131+D130)+D131+D130*(1-((D128/(D129-D128))-ROUNDDOWN((D128/(D129-D128)),0)))</f>
        <v>4.6486983759555054</v>
      </c>
      <c r="E132" s="160">
        <f t="shared" si="14"/>
        <v>4.2750000000000012</v>
      </c>
      <c r="F132" s="160">
        <f t="shared" si="14"/>
        <v>4.8185444743935308</v>
      </c>
      <c r="G132" s="160">
        <f t="shared" si="14"/>
        <v>4.4626446280991763</v>
      </c>
      <c r="H132" s="160">
        <f t="shared" si="14"/>
        <v>4.573854166666667</v>
      </c>
      <c r="I132" s="160">
        <f t="shared" si="14"/>
        <v>4.8185444743935308</v>
      </c>
      <c r="J132" s="106" t="s">
        <v>2</v>
      </c>
      <c r="K132" s="106"/>
      <c r="L132" s="8"/>
      <c r="M132" s="8"/>
      <c r="N132" s="8"/>
      <c r="O132" s="105"/>
    </row>
    <row r="133" spans="2:15" ht="40.5" hidden="1" customHeight="1" x14ac:dyDescent="0.2">
      <c r="B133" s="103"/>
      <c r="C133" s="178" t="s">
        <v>100</v>
      </c>
      <c r="D133" s="162">
        <v>1.57</v>
      </c>
      <c r="E133" s="180">
        <f>D133</f>
        <v>1.57</v>
      </c>
      <c r="F133" s="180">
        <f>D133</f>
        <v>1.57</v>
      </c>
      <c r="G133" s="180">
        <f>D133</f>
        <v>1.57</v>
      </c>
      <c r="H133" s="180">
        <f>D133</f>
        <v>1.57</v>
      </c>
      <c r="I133" s="180">
        <f>D133</f>
        <v>1.57</v>
      </c>
      <c r="J133" s="106" t="s">
        <v>92</v>
      </c>
      <c r="K133" s="106"/>
      <c r="L133" s="8"/>
      <c r="M133" s="8"/>
      <c r="N133" s="8"/>
      <c r="O133" s="105"/>
    </row>
    <row r="134" spans="2:15" ht="39.75" hidden="1" x14ac:dyDescent="0.2">
      <c r="B134" s="103"/>
      <c r="C134" s="159" t="s">
        <v>128</v>
      </c>
      <c r="D134" s="161">
        <f t="shared" ref="D134:I134" si="15">((EXP(-D127*D131)-EXP(-D127*(D130+D131)))*D133)/(D127*D130*(1+(D128/(D129-D128))*(1-EXP(-D127*(D130+D131)))))</f>
        <v>0.91467467077932485</v>
      </c>
      <c r="E134" s="161">
        <f t="shared" si="15"/>
        <v>0.95153939549881872</v>
      </c>
      <c r="F134" s="161">
        <f t="shared" si="15"/>
        <v>0.91931070275378191</v>
      </c>
      <c r="G134" s="161">
        <f t="shared" si="15"/>
        <v>0.93277631563050756</v>
      </c>
      <c r="H134" s="161">
        <f t="shared" si="15"/>
        <v>0.92093087132362661</v>
      </c>
      <c r="I134" s="161">
        <f t="shared" si="15"/>
        <v>0.91931070275378191</v>
      </c>
      <c r="J134" s="106" t="s">
        <v>92</v>
      </c>
      <c r="K134" s="106"/>
      <c r="L134" s="8"/>
      <c r="M134" s="8"/>
      <c r="N134" s="8"/>
      <c r="O134" s="105"/>
    </row>
    <row r="135" spans="2:15" ht="39.75" hidden="1" x14ac:dyDescent="0.2">
      <c r="B135" s="103"/>
      <c r="C135" s="159" t="s">
        <v>127</v>
      </c>
      <c r="D135" s="161">
        <f t="shared" ref="D135:I135" si="16">D133*EXP(-D127*D132)</f>
        <v>0.78429108302523221</v>
      </c>
      <c r="E135" s="161">
        <f t="shared" si="16"/>
        <v>0.82929289034636866</v>
      </c>
      <c r="F135" s="161">
        <f t="shared" si="16"/>
        <v>0.76465305518144056</v>
      </c>
      <c r="G135" s="161">
        <f t="shared" si="16"/>
        <v>0.80638238684390784</v>
      </c>
      <c r="H135" s="161">
        <f t="shared" si="16"/>
        <v>0.79310408778256047</v>
      </c>
      <c r="I135" s="161">
        <f t="shared" si="16"/>
        <v>0.76465305518144056</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6.2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E11:F12"/>
    <mergeCell ref="C137:I141"/>
    <mergeCell ref="B2:O2"/>
    <mergeCell ref="D80:F83"/>
    <mergeCell ref="E48:F49"/>
    <mergeCell ref="H74:I74"/>
    <mergeCell ref="H76:I76"/>
    <mergeCell ref="I77:L80"/>
    <mergeCell ref="H75:I75"/>
    <mergeCell ref="J50:L50"/>
    <mergeCell ref="K51:K52"/>
    <mergeCell ref="H69:K69"/>
  </mergeCells>
  <phoneticPr fontId="0" type="noConversion"/>
  <conditionalFormatting sqref="D112:I112">
    <cfRule type="cellIs" dxfId="79" priority="7" stopIfTrue="1" operator="greaterThanOrEqual">
      <formula>1</formula>
    </cfRule>
    <cfRule type="cellIs" dxfId="78" priority="8" stopIfTrue="1" operator="lessThan">
      <formula>1</formula>
    </cfRule>
  </conditionalFormatting>
  <conditionalFormatting sqref="D113:I113">
    <cfRule type="cellIs" dxfId="77" priority="5" stopIfTrue="1" operator="greaterThan">
      <formula>5</formula>
    </cfRule>
    <cfRule type="cellIs" dxfId="76" priority="6" stopIfTrue="1" operator="lessThanOrEqual">
      <formula>5</formula>
    </cfRule>
  </conditionalFormatting>
  <conditionalFormatting sqref="E79">
    <cfRule type="cellIs" dxfId="75" priority="3" stopIfTrue="1" operator="lessThanOrEqual">
      <formula>5</formula>
    </cfRule>
    <cfRule type="cellIs" dxfId="74" priority="4" stopIfTrue="1" operator="greaterThan">
      <formula>5</formula>
    </cfRule>
  </conditionalFormatting>
  <conditionalFormatting sqref="J75">
    <cfRule type="cellIs" dxfId="73" priority="1" stopIfTrue="1" operator="greaterThanOrEqual">
      <formula>1</formula>
    </cfRule>
    <cfRule type="cellIs" dxfId="72"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141"/>
  <sheetViews>
    <sheetView showGridLines="0" zoomScale="80" zoomScaleNormal="80" workbookViewId="0">
      <selection activeCell="C18" sqref="C18:F47"/>
    </sheetView>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69</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Summary'!L11</f>
        <v>0</v>
      </c>
      <c r="E5" s="104"/>
      <c r="F5" s="104"/>
      <c r="G5" s="8"/>
      <c r="H5" s="8"/>
      <c r="I5" s="8"/>
      <c r="J5" s="8"/>
      <c r="K5" s="8"/>
      <c r="L5" s="8"/>
      <c r="M5" s="8"/>
      <c r="N5" s="8"/>
      <c r="O5" s="105"/>
    </row>
    <row r="6" spans="2:15" ht="15.95" customHeight="1" x14ac:dyDescent="0.2">
      <c r="B6" s="103"/>
      <c r="C6" s="163" t="s">
        <v>114</v>
      </c>
      <c r="D6" s="170">
        <f>'Tank Summary'!L12</f>
        <v>0</v>
      </c>
      <c r="E6" s="104"/>
      <c r="F6" s="104"/>
      <c r="G6" s="8"/>
      <c r="H6" s="8"/>
      <c r="I6" s="8"/>
      <c r="J6" s="8"/>
      <c r="K6" s="8"/>
      <c r="L6" s="8"/>
      <c r="M6" s="8"/>
      <c r="N6" s="8"/>
      <c r="O6" s="105"/>
    </row>
    <row r="7" spans="2:15" ht="40.5" customHeight="1" x14ac:dyDescent="0.2">
      <c r="B7" s="103"/>
      <c r="C7" s="171" t="s">
        <v>77</v>
      </c>
      <c r="D7" s="95">
        <f>'Tank Summary'!L13</f>
        <v>0</v>
      </c>
      <c r="E7" s="166"/>
      <c r="F7" s="104"/>
      <c r="G7" s="167"/>
      <c r="H7" s="8"/>
      <c r="I7" s="8"/>
      <c r="J7" s="8"/>
      <c r="K7" s="8"/>
      <c r="L7" s="8"/>
      <c r="M7" s="8"/>
      <c r="N7" s="8"/>
      <c r="O7" s="105"/>
    </row>
    <row r="8" spans="2:15" ht="39.75" customHeight="1" x14ac:dyDescent="0.2">
      <c r="B8" s="103"/>
      <c r="C8" s="171" t="s">
        <v>80</v>
      </c>
      <c r="D8" s="172">
        <f>'Tank Summary'!L14</f>
        <v>0</v>
      </c>
      <c r="E8" s="166"/>
      <c r="F8" s="104"/>
      <c r="G8" s="167"/>
      <c r="H8" s="8"/>
      <c r="I8" s="8"/>
      <c r="J8" s="8"/>
      <c r="K8" s="8"/>
      <c r="L8" s="8"/>
      <c r="M8" s="8"/>
      <c r="N8" s="8"/>
      <c r="O8" s="105"/>
    </row>
    <row r="9" spans="2:15" ht="18" customHeight="1" x14ac:dyDescent="0.2">
      <c r="B9" s="103"/>
      <c r="C9" s="163" t="str">
        <f>IF(OR(D7="c",D7="r",D7="h"),"Maximum Water Depth, H:","")</f>
        <v/>
      </c>
      <c r="D9" s="173">
        <f>'Tank Summary'!L19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Summary'!L16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Summary'!L17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Summary'!L21</f>
        <v>#DIV/0!</v>
      </c>
      <c r="E12" s="420"/>
      <c r="F12" s="421"/>
      <c r="G12" s="167"/>
      <c r="H12" s="8"/>
      <c r="I12" s="8"/>
      <c r="J12" s="8"/>
      <c r="K12" s="8"/>
      <c r="L12" s="8"/>
      <c r="M12" s="8"/>
      <c r="N12" s="8"/>
      <c r="O12" s="105"/>
    </row>
    <row r="13" spans="2:15" ht="18" customHeight="1" x14ac:dyDescent="0.2">
      <c r="B13" s="103"/>
      <c r="C13" s="168" t="s">
        <v>11</v>
      </c>
      <c r="D13" s="95">
        <f>'Tank Summary'!L18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Summary'!$L$15="y",10.2,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Summary'!$L$15="y",10.2,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Summary'!$L$15="y",10.2,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Summary'!$L$15="y",10.2,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Summary'!$L$15="y",10.2,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Summary'!$L$15="y",10.2,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Summary'!$L$15="y",10.2,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Summary'!$L$15="y",10.2,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Summary'!$L$15="y",10.2,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Summary'!$L$15="y",10.2,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Summary'!$L$15="y",10.2,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Summary'!$L$15="y",10.2,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Summary'!$L$15="y",10.2,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Summary'!$L$15="y",10.2,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Summary'!$L$15="y",10.2,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Summary'!L15="n","",SUM(D53:D67)/SUM(B53:B67))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Summary'!L15="n","",AVERAGE(J53:J67))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Summary'!L15="n","",AVERAGE(L53:L67))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Summary'!L15="n","",(SUM(E53:E67)/SUM(B53:B67))-J70)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Summary'!L15="n","",$J$70*J72)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Summary'!L15="n","",J73/J74)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Summary'!L15="n","",(((((SUM(F53:F67)/SUM(B53:B67))*10^6/7.48)^(1/3))*$J$71)/9)*12)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5" t="e">
        <f>IF('Tank Summary'!L15="n","",IF(J73&lt;J74,"Mixing is at an undesirable level, use Mixing Analysis (Section II) to determine strategies that will increase mixing.","Mixing is at a desired level."))</f>
        <v>#DIV/0!</v>
      </c>
      <c r="J77" s="435"/>
      <c r="K77" s="435"/>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'Tank#1'!D10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'Tank#1'!D11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'Tank#1'!D13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IF(D8="y","","ft")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'Tank#1'!J73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Summary'!$L$15="y",10.2, IF(D97/$D$10&lt;=1,10.2,IF(D97/$D$10&gt;1,3.58*(D97/$D$10)+6.66)))</f>
        <v>#DIV/0!</v>
      </c>
      <c r="E101" s="135" t="e">
        <f>IF('Tank Summary'!$L$15="y",10.2, IF(E97/$D$10&lt;=1,10.2,IF(E97/$D$10&gt;1,3.58*(E97/$D$10)+6.66)))</f>
        <v>#DIV/0!</v>
      </c>
      <c r="F101" s="135" t="e">
        <f>IF('Tank Summary'!$L$15="y",10.2, IF(F97/$D$10&lt;=1,10.2,IF(F97/$D$10&gt;1,3.58*(F97/$D$10)+6.66)))</f>
        <v>#DIV/0!</v>
      </c>
      <c r="G101" s="135" t="e">
        <f>IF('Tank Summary'!$L$15="y",10.2, IF(G97/$D$10&lt;=1,10.2,IF(G97/$D$10&gt;1,3.58*(G97/$D$10)+6.66)))</f>
        <v>#DIV/0!</v>
      </c>
      <c r="H101" s="135" t="e">
        <f>IF('Tank Summary'!$L$15="y",10.2, IF(H97/$D$10&lt;=1,10.2,IF(H97/$D$10&gt;1,3.58*(H97/$D$10)+6.66)))</f>
        <v>#DIV/0!</v>
      </c>
      <c r="I101" s="135" t="e">
        <f>IF('Tank Summary'!$L$15="y",10.2,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'Tank#1'!J74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'Tank#1'!E74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'Tank#1'!E75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'Tank#1'!E72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'Tank#1'!E73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'Tank#1'!E70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'Tank#1'!E76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'Tank#1'!$E$77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'Tank#1'!$E$78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'Tank#1'!J75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'Tank#1'!$E$79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6.2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H69:K69"/>
    <mergeCell ref="C137:I141"/>
    <mergeCell ref="E11:F12"/>
    <mergeCell ref="B2:O2"/>
    <mergeCell ref="D80:F83"/>
    <mergeCell ref="E48:F49"/>
    <mergeCell ref="H74:I74"/>
    <mergeCell ref="H76:I76"/>
    <mergeCell ref="I77:L80"/>
    <mergeCell ref="H75:I75"/>
    <mergeCell ref="J50:L50"/>
    <mergeCell ref="K51:K52"/>
  </mergeCells>
  <phoneticPr fontId="0" type="noConversion"/>
  <conditionalFormatting sqref="E79">
    <cfRule type="cellIs" dxfId="71" priority="7" stopIfTrue="1" operator="lessThanOrEqual">
      <formula>5</formula>
    </cfRule>
    <cfRule type="cellIs" dxfId="70" priority="8" stopIfTrue="1" operator="greaterThan">
      <formula>5</formula>
    </cfRule>
  </conditionalFormatting>
  <conditionalFormatting sqref="J75">
    <cfRule type="cellIs" dxfId="69" priority="5" stopIfTrue="1" operator="greaterThanOrEqual">
      <formula>1</formula>
    </cfRule>
    <cfRule type="cellIs" dxfId="68" priority="6" stopIfTrue="1" operator="lessThan">
      <formula>1</formula>
    </cfRule>
  </conditionalFormatting>
  <conditionalFormatting sqref="D112:I112">
    <cfRule type="cellIs" dxfId="67" priority="3" stopIfTrue="1" operator="greaterThanOrEqual">
      <formula>1</formula>
    </cfRule>
    <cfRule type="cellIs" dxfId="66" priority="4" stopIfTrue="1" operator="lessThan">
      <formula>1</formula>
    </cfRule>
  </conditionalFormatting>
  <conditionalFormatting sqref="D113:I113">
    <cfRule type="cellIs" dxfId="65" priority="1" stopIfTrue="1" operator="greaterThan">
      <formula>5</formula>
    </cfRule>
    <cfRule type="cellIs" dxfId="64" priority="2" stopIfTrue="1" operator="lessThanOrEqual">
      <formula>5</formula>
    </cfRule>
  </conditionalFormatting>
  <pageMargins left="0.75" right="0.75" top="1" bottom="1" header="0.5" footer="0.5"/>
  <pageSetup scale="63" fitToHeight="4" orientation="landscape" r:id="rId1"/>
  <headerFooter alignWithMargins="0"/>
  <rowBreaks count="2" manualBreakCount="2">
    <brk id="48" max="16383" man="1"/>
    <brk id="84" max="16383" man="1"/>
  </rowBreaks>
  <ignoredErrors>
    <ignoredError sqref="D12 J53:L67 E70:E79 J70:J76 D80 D100:D102 E101:I101 D104:I107 D108:D113 E109:I110 E112:I113 D125:I126 D128:D132 E130:I132 D134:I135" evalError="1"/>
    <ignoredError sqref="E127:I127 E133:I133"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41"/>
  <sheetViews>
    <sheetView showGridLines="0" zoomScale="80" zoomScaleNormal="80" workbookViewId="0"/>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68</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Summary'!M11</f>
        <v>0</v>
      </c>
      <c r="E5" s="104"/>
      <c r="F5" s="104"/>
      <c r="G5" s="8"/>
      <c r="H5" s="8"/>
      <c r="I5" s="8"/>
      <c r="J5" s="8"/>
      <c r="K5" s="8"/>
      <c r="L5" s="8"/>
      <c r="M5" s="8"/>
      <c r="N5" s="8"/>
      <c r="O5" s="105"/>
    </row>
    <row r="6" spans="2:15" ht="15.95" customHeight="1" x14ac:dyDescent="0.2">
      <c r="B6" s="103"/>
      <c r="C6" s="163" t="s">
        <v>114</v>
      </c>
      <c r="D6" s="170">
        <f>'Tank Summary'!M12</f>
        <v>0</v>
      </c>
      <c r="E6" s="104"/>
      <c r="F6" s="104"/>
      <c r="G6" s="8"/>
      <c r="H6" s="8"/>
      <c r="I6" s="8"/>
      <c r="J6" s="8"/>
      <c r="K6" s="8"/>
      <c r="L6" s="8"/>
      <c r="M6" s="8"/>
      <c r="N6" s="8"/>
      <c r="O6" s="105"/>
    </row>
    <row r="7" spans="2:15" ht="40.5" customHeight="1" x14ac:dyDescent="0.2">
      <c r="B7" s="103"/>
      <c r="C7" s="171" t="s">
        <v>77</v>
      </c>
      <c r="D7" s="95">
        <f>'Tank Summary'!M13</f>
        <v>0</v>
      </c>
      <c r="E7" s="166"/>
      <c r="F7" s="104"/>
      <c r="G7" s="167"/>
      <c r="H7" s="8"/>
      <c r="I7" s="8"/>
      <c r="J7" s="8"/>
      <c r="K7" s="8"/>
      <c r="L7" s="8"/>
      <c r="M7" s="8"/>
      <c r="N7" s="8"/>
      <c r="O7" s="105"/>
    </row>
    <row r="8" spans="2:15" ht="39.75" customHeight="1" x14ac:dyDescent="0.2">
      <c r="B8" s="103"/>
      <c r="C8" s="171" t="s">
        <v>80</v>
      </c>
      <c r="D8" s="172">
        <f>'Tank Summary'!M14</f>
        <v>0</v>
      </c>
      <c r="E8" s="166"/>
      <c r="F8" s="104"/>
      <c r="G8" s="167"/>
      <c r="H8" s="8"/>
      <c r="I8" s="8"/>
      <c r="J8" s="8"/>
      <c r="K8" s="8"/>
      <c r="L8" s="8"/>
      <c r="M8" s="8"/>
      <c r="N8" s="8"/>
      <c r="O8" s="105"/>
    </row>
    <row r="9" spans="2:15" ht="18" customHeight="1" x14ac:dyDescent="0.2">
      <c r="B9" s="103"/>
      <c r="C9" s="163" t="str">
        <f>IF(OR(D7="c",D7="r",D7="h"),"Maximum Water Depth, H:","")</f>
        <v/>
      </c>
      <c r="D9" s="173">
        <f>'Tank Summary'!M19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Summary'!M16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Summary'!M17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Summary'!M21</f>
        <v>#DIV/0!</v>
      </c>
      <c r="E12" s="420"/>
      <c r="F12" s="421"/>
      <c r="G12" s="167"/>
      <c r="H12" s="8"/>
      <c r="I12" s="8"/>
      <c r="J12" s="8"/>
      <c r="K12" s="8"/>
      <c r="L12" s="8"/>
      <c r="M12" s="8"/>
      <c r="N12" s="8"/>
      <c r="O12" s="105"/>
    </row>
    <row r="13" spans="2:15" ht="18" customHeight="1" x14ac:dyDescent="0.2">
      <c r="B13" s="103"/>
      <c r="C13" s="168" t="s">
        <v>11</v>
      </c>
      <c r="D13" s="95">
        <f>'Tank Summary'!M18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Summary'!$M$15="y",10.2,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Summary'!$M$15="y",10.2,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Summary'!$M$15="y",10.2,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Summary'!$M$15="y",10.2,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Summary'!$M$15="y",10.2,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Summary'!$M$15="y",10.2,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Summary'!$M$15="y",10.2,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Summary'!$M$15="y",10.2,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Summary'!$M$15="y",10.2,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Summary'!$M$15="y",10.2,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Summary'!$M$15="y",10.2,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Summary'!$M$15="y",10.2,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Summary'!$M$15="y",10.2,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Summary'!$M$15="y",10.2,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Summary'!$M$15="y",10.2,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Summary'!M15="n","",SUM(D53:D67)/SUM(B53:B67))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Summary'!M15="n","",AVERAGE(J53:J67))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Summary'!M15="n","",AVERAGE(L53:L67))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Summary'!M15="n","",(SUM(E53:E67)/SUM(B53:B67))-J70)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Summary'!M15="n","",$J$70*J72)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Summary'!M15="n","",J73/J74)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Summary'!M15="n","",(((((SUM(F53:F67)/SUM(B53:B67))*10^6/7.48)^(1/3))*$J$71)/9)*12)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5" t="e">
        <f>IF('Tank Summary'!M15="n","",IF(J73&lt;J74,"Mixing is at an undesirable level, use Mixing Analysis (Section II) to determine strategies that will increase mixing.","Mixing is at a desired level."))</f>
        <v>#DIV/0!</v>
      </c>
      <c r="J77" s="435"/>
      <c r="K77" s="435"/>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'Tank#2'!D10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'Tank#2'!D11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'Tank#2'!D13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IF(D8="y","","ft")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'Tank#2'!J73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Summary'!$M$15="y",10.2, IF(D97/$D$10&lt;=1,10.2,IF(D97/$D$10&gt;1,3.58*(D97/$D$10)+6.66)))</f>
        <v>#DIV/0!</v>
      </c>
      <c r="E101" s="135" t="e">
        <f>IF('Tank Summary'!$M$15="y",10.2, IF(E97/$D$10&lt;=1,10.2,IF(E97/$D$10&gt;1,3.58*(E97/$D$10)+6.66)))</f>
        <v>#DIV/0!</v>
      </c>
      <c r="F101" s="135" t="e">
        <f>IF('Tank Summary'!$M$15="y",10.2, IF(F97/$D$10&lt;=1,10.2,IF(F97/$D$10&gt;1,3.58*(F97/$D$10)+6.66)))</f>
        <v>#DIV/0!</v>
      </c>
      <c r="G101" s="135" t="e">
        <f>IF('Tank Summary'!$M$15="y",10.2, IF(G97/$D$10&lt;=1,10.2,IF(G97/$D$10&gt;1,3.58*(G97/$D$10)+6.66)))</f>
        <v>#DIV/0!</v>
      </c>
      <c r="H101" s="135" t="e">
        <f>IF('Tank Summary'!$M$15="y",10.2, IF(H97/$D$10&lt;=1,10.2,IF(H97/$D$10&gt;1,3.58*(H97/$D$10)+6.66)))</f>
        <v>#DIV/0!</v>
      </c>
      <c r="I101" s="135" t="e">
        <f>IF('Tank Summary'!$M$15="y",10.2,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'Tank#2'!J74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'Tank#2'!E74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'Tank#2'!E75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'Tank#2'!E72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'Tank#2'!E73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'Tank#2'!E70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'Tank#2'!E76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'Tank#2'!$E$77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'Tank#2'!$E$78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'Tank#2'!J75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'Tank#2'!$E$79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7"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C137:I141"/>
    <mergeCell ref="H69:K69"/>
    <mergeCell ref="E11:F12"/>
    <mergeCell ref="B2:O2"/>
    <mergeCell ref="D80:F83"/>
    <mergeCell ref="E48:F49"/>
    <mergeCell ref="H74:I74"/>
    <mergeCell ref="H76:I76"/>
    <mergeCell ref="I77:L80"/>
    <mergeCell ref="H75:I75"/>
    <mergeCell ref="J50:L50"/>
    <mergeCell ref="K51:K52"/>
  </mergeCells>
  <phoneticPr fontId="0" type="noConversion"/>
  <conditionalFormatting sqref="D112:I112">
    <cfRule type="cellIs" dxfId="63" priority="7" stopIfTrue="1" operator="greaterThanOrEqual">
      <formula>1</formula>
    </cfRule>
    <cfRule type="cellIs" dxfId="62" priority="8" stopIfTrue="1" operator="lessThan">
      <formula>1</formula>
    </cfRule>
  </conditionalFormatting>
  <conditionalFormatting sqref="D113:I113">
    <cfRule type="cellIs" dxfId="61" priority="5" stopIfTrue="1" operator="greaterThan">
      <formula>5</formula>
    </cfRule>
    <cfRule type="cellIs" dxfId="60" priority="6" stopIfTrue="1" operator="lessThanOrEqual">
      <formula>5</formula>
    </cfRule>
  </conditionalFormatting>
  <conditionalFormatting sqref="E79">
    <cfRule type="cellIs" dxfId="59" priority="3" stopIfTrue="1" operator="lessThanOrEqual">
      <formula>5</formula>
    </cfRule>
    <cfRule type="cellIs" dxfId="58" priority="4" stopIfTrue="1" operator="greaterThan">
      <formula>5</formula>
    </cfRule>
  </conditionalFormatting>
  <conditionalFormatting sqref="J75">
    <cfRule type="cellIs" dxfId="57" priority="1" stopIfTrue="1" operator="greaterThanOrEqual">
      <formula>1</formula>
    </cfRule>
    <cfRule type="cellIs" dxfId="56"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141"/>
  <sheetViews>
    <sheetView showGridLines="0" zoomScale="80" zoomScaleNormal="80" workbookViewId="0">
      <selection activeCell="B1" sqref="B1"/>
    </sheetView>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70</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Summary'!N11</f>
        <v>0</v>
      </c>
      <c r="E5" s="104"/>
      <c r="F5" s="104"/>
      <c r="G5" s="8"/>
      <c r="H5" s="8"/>
      <c r="I5" s="8"/>
      <c r="J5" s="8"/>
      <c r="K5" s="8"/>
      <c r="L5" s="8"/>
      <c r="M5" s="8"/>
      <c r="N5" s="8"/>
      <c r="O5" s="105"/>
    </row>
    <row r="6" spans="2:15" ht="15.95" customHeight="1" x14ac:dyDescent="0.2">
      <c r="B6" s="103"/>
      <c r="C6" s="163" t="s">
        <v>114</v>
      </c>
      <c r="D6" s="170">
        <f>'Tank Summary'!N12</f>
        <v>0</v>
      </c>
      <c r="E6" s="104"/>
      <c r="F6" s="104"/>
      <c r="G6" s="8"/>
      <c r="H6" s="8"/>
      <c r="I6" s="8"/>
      <c r="J6" s="8"/>
      <c r="K6" s="8"/>
      <c r="L6" s="8"/>
      <c r="M6" s="8"/>
      <c r="N6" s="8"/>
      <c r="O6" s="105"/>
    </row>
    <row r="7" spans="2:15" ht="40.5" customHeight="1" x14ac:dyDescent="0.2">
      <c r="B7" s="103"/>
      <c r="C7" s="171" t="s">
        <v>77</v>
      </c>
      <c r="D7" s="95">
        <f>'Tank Summary'!N13</f>
        <v>0</v>
      </c>
      <c r="E7" s="166"/>
      <c r="F7" s="104"/>
      <c r="G7" s="167"/>
      <c r="H7" s="8"/>
      <c r="I7" s="8"/>
      <c r="J7" s="8"/>
      <c r="K7" s="8"/>
      <c r="L7" s="8"/>
      <c r="M7" s="8"/>
      <c r="N7" s="8"/>
      <c r="O7" s="105"/>
    </row>
    <row r="8" spans="2:15" ht="39.75" customHeight="1" x14ac:dyDescent="0.2">
      <c r="B8" s="103"/>
      <c r="C8" s="171" t="s">
        <v>80</v>
      </c>
      <c r="D8" s="172">
        <f>'Tank Summary'!N14</f>
        <v>0</v>
      </c>
      <c r="E8" s="166"/>
      <c r="F8" s="104"/>
      <c r="G8" s="167"/>
      <c r="H8" s="8"/>
      <c r="I8" s="8"/>
      <c r="J8" s="8"/>
      <c r="K8" s="8"/>
      <c r="L8" s="8"/>
      <c r="M8" s="8"/>
      <c r="N8" s="8"/>
      <c r="O8" s="105"/>
    </row>
    <row r="9" spans="2:15" ht="18" customHeight="1" x14ac:dyDescent="0.2">
      <c r="B9" s="103"/>
      <c r="C9" s="163" t="str">
        <f>IF(OR(D7="c",D7="r",D7="h"),"Maximum Water Depth, H:","")</f>
        <v/>
      </c>
      <c r="D9" s="173">
        <f>'Tank Summary'!N19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Summary'!N16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Summary'!N17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Summary'!N21</f>
        <v>#DIV/0!</v>
      </c>
      <c r="E12" s="420"/>
      <c r="F12" s="421"/>
      <c r="G12" s="167"/>
      <c r="H12" s="8"/>
      <c r="I12" s="8"/>
      <c r="J12" s="8"/>
      <c r="K12" s="8"/>
      <c r="L12" s="8"/>
      <c r="M12" s="8"/>
      <c r="N12" s="8"/>
      <c r="O12" s="105"/>
    </row>
    <row r="13" spans="2:15" ht="18" customHeight="1" x14ac:dyDescent="0.2">
      <c r="B13" s="103"/>
      <c r="C13" s="168" t="s">
        <v>11</v>
      </c>
      <c r="D13" s="95">
        <f>'Tank Summary'!N18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Summary'!$N$15="y",10.2,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Summary'!$N$15="y",10.2,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Summary'!$N$15="y",10.2,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Summary'!$N$15="y",10.2,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Summary'!$N$15="y",10.2,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Summary'!$N$15="y",10.2,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Summary'!$N$15="y",10.2,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Summary'!$N$15="y",10.2,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Summary'!$N$15="y",10.2,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Summary'!$N$15="y",10.2,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Summary'!$N$15="y",10.2,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Summary'!$N$15="y",10.2,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Summary'!$N$15="y",10.2,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Summary'!$N$15="y",10.2,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Summary'!$N$15="y",10.2,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Summary'!N15="n","",SUM(D53:D67)/SUM(B53:B67))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Summary'!N15="n","",AVERAGE(J53:J67))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Summary'!N15="n","",AVERAGE(L53:L67))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Summary'!N15="n","",(SUM(E53:E67)/SUM(B53:B67))-J70)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Summary'!N15="n","",$J$70*J72)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Summary'!N15="n","",J73/J74)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Summary'!N15="n","",(((((SUM(F53:F67)/SUM(B53:B67))*10^6/7.48)^(1/3))*$J$71)/9)*12)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5" t="e">
        <f>IF('Tank Summary'!N15="n","",IF(J73&lt;J74,"Mixing is at an undesirable level, use Mixing Analysis (Section II) to determine strategies that will increase mixing.","Mixing is at a desired level."))</f>
        <v>#DIV/0!</v>
      </c>
      <c r="J77" s="435"/>
      <c r="K77" s="435"/>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'Tank#3'!D10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'Tank#3'!D11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'Tank#3'!D13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IF(D8="y","","ft")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'Tank#3'!J73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Summary'!$N$15="y",10.2, IF(D97/$D$10&lt;=1,10.2,IF(D97/$D$10&gt;1,3.58*(D97/$D$10)+6.66)))</f>
        <v>#DIV/0!</v>
      </c>
      <c r="E101" s="135" t="e">
        <f>IF('Tank Summary'!$N$15="y",10.2, IF(E97/$D$10&lt;=1,10.2,IF(E97/$D$10&gt;1,3.58*(E97/$D$10)+6.66)))</f>
        <v>#DIV/0!</v>
      </c>
      <c r="F101" s="135" t="e">
        <f>IF('Tank Summary'!$N$15="y",10.2, IF(F97/$D$10&lt;=1,10.2,IF(F97/$D$10&gt;1,3.58*(F97/$D$10)+6.66)))</f>
        <v>#DIV/0!</v>
      </c>
      <c r="G101" s="135" t="e">
        <f>IF('Tank Summary'!$N$15="y",10.2, IF(G97/$D$10&lt;=1,10.2,IF(G97/$D$10&gt;1,3.58*(G97/$D$10)+6.66)))</f>
        <v>#DIV/0!</v>
      </c>
      <c r="H101" s="135" t="e">
        <f>IF('Tank Summary'!$N$15="y",10.2, IF(H97/$D$10&lt;=1,10.2,IF(H97/$D$10&gt;1,3.58*(H97/$D$10)+6.66)))</f>
        <v>#DIV/0!</v>
      </c>
      <c r="I101" s="135" t="e">
        <f>IF('Tank Summary'!$N$15="y",10.2,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'Tank#3'!J74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'Tank#3'!E74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'Tank#3'!E75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'Tank#3'!E72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'Tank#3'!E73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'Tank#3'!E70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'Tank#3'!E76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'Tank#3'!$E$77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'Tank#3'!$E$78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'Tank#3'!J75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'Tank#3'!$E$79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6.2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E11:F12"/>
    <mergeCell ref="B2:O2"/>
    <mergeCell ref="C137:I141"/>
    <mergeCell ref="D80:F83"/>
    <mergeCell ref="E48:F49"/>
    <mergeCell ref="H74:I74"/>
    <mergeCell ref="H76:I76"/>
    <mergeCell ref="I77:L80"/>
    <mergeCell ref="H75:I75"/>
    <mergeCell ref="J50:L50"/>
    <mergeCell ref="K51:K52"/>
    <mergeCell ref="H69:K69"/>
  </mergeCells>
  <phoneticPr fontId="0" type="noConversion"/>
  <conditionalFormatting sqref="D112:I112">
    <cfRule type="cellIs" dxfId="55" priority="7" stopIfTrue="1" operator="greaterThanOrEqual">
      <formula>1</formula>
    </cfRule>
    <cfRule type="cellIs" dxfId="54" priority="8" stopIfTrue="1" operator="lessThan">
      <formula>1</formula>
    </cfRule>
  </conditionalFormatting>
  <conditionalFormatting sqref="D113:I113">
    <cfRule type="cellIs" dxfId="53" priority="5" stopIfTrue="1" operator="greaterThan">
      <formula>5</formula>
    </cfRule>
    <cfRule type="cellIs" dxfId="52" priority="6" stopIfTrue="1" operator="lessThanOrEqual">
      <formula>5</formula>
    </cfRule>
  </conditionalFormatting>
  <conditionalFormatting sqref="E79">
    <cfRule type="cellIs" dxfId="51" priority="3" stopIfTrue="1" operator="lessThanOrEqual">
      <formula>5</formula>
    </cfRule>
    <cfRule type="cellIs" dxfId="50" priority="4" stopIfTrue="1" operator="greaterThan">
      <formula>5</formula>
    </cfRule>
  </conditionalFormatting>
  <conditionalFormatting sqref="J75">
    <cfRule type="cellIs" dxfId="49" priority="1" stopIfTrue="1" operator="greaterThanOrEqual">
      <formula>1</formula>
    </cfRule>
    <cfRule type="cellIs" dxfId="48"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141"/>
  <sheetViews>
    <sheetView showGridLines="0" zoomScale="80" zoomScaleNormal="80" workbookViewId="0"/>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71</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Summary'!O11</f>
        <v>0</v>
      </c>
      <c r="E5" s="104"/>
      <c r="F5" s="104"/>
      <c r="G5" s="8"/>
      <c r="H5" s="8"/>
      <c r="I5" s="8"/>
      <c r="J5" s="8"/>
      <c r="K5" s="8"/>
      <c r="L5" s="8"/>
      <c r="M5" s="8"/>
      <c r="N5" s="8"/>
      <c r="O5" s="105"/>
    </row>
    <row r="6" spans="2:15" ht="15.95" customHeight="1" x14ac:dyDescent="0.2">
      <c r="B6" s="103"/>
      <c r="C6" s="163" t="s">
        <v>114</v>
      </c>
      <c r="D6" s="170">
        <f>'Tank Summary'!O12</f>
        <v>0</v>
      </c>
      <c r="E6" s="104"/>
      <c r="F6" s="104"/>
      <c r="G6" s="8"/>
      <c r="H6" s="8"/>
      <c r="I6" s="8"/>
      <c r="J6" s="8"/>
      <c r="K6" s="8"/>
      <c r="L6" s="8"/>
      <c r="M6" s="8"/>
      <c r="N6" s="8"/>
      <c r="O6" s="105"/>
    </row>
    <row r="7" spans="2:15" ht="40.5" customHeight="1" x14ac:dyDescent="0.2">
      <c r="B7" s="103"/>
      <c r="C7" s="171" t="s">
        <v>77</v>
      </c>
      <c r="D7" s="95">
        <f>'Tank Summary'!O13</f>
        <v>0</v>
      </c>
      <c r="E7" s="166"/>
      <c r="F7" s="104"/>
      <c r="G7" s="167"/>
      <c r="H7" s="8"/>
      <c r="I7" s="8"/>
      <c r="J7" s="8"/>
      <c r="K7" s="8"/>
      <c r="L7" s="8"/>
      <c r="M7" s="8"/>
      <c r="N7" s="8"/>
      <c r="O7" s="105"/>
    </row>
    <row r="8" spans="2:15" ht="39.75" customHeight="1" x14ac:dyDescent="0.2">
      <c r="B8" s="103"/>
      <c r="C8" s="171" t="s">
        <v>80</v>
      </c>
      <c r="D8" s="172">
        <f>'Tank Summary'!O14</f>
        <v>0</v>
      </c>
      <c r="E8" s="166"/>
      <c r="F8" s="104"/>
      <c r="G8" s="167"/>
      <c r="H8" s="8"/>
      <c r="I8" s="8"/>
      <c r="J8" s="8"/>
      <c r="K8" s="8"/>
      <c r="L8" s="8"/>
      <c r="M8" s="8"/>
      <c r="N8" s="8"/>
      <c r="O8" s="105"/>
    </row>
    <row r="9" spans="2:15" ht="18" customHeight="1" x14ac:dyDescent="0.2">
      <c r="B9" s="103"/>
      <c r="C9" s="163" t="str">
        <f>IF(OR(D7="c",D7="r",D7="h"),"Maximum Water Depth, H:","")</f>
        <v/>
      </c>
      <c r="D9" s="173">
        <f>'Tank Summary'!O19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Summary'!O16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Summary'!O17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Summary'!O21</f>
        <v>#DIV/0!</v>
      </c>
      <c r="E12" s="420"/>
      <c r="F12" s="421"/>
      <c r="G12" s="167"/>
      <c r="H12" s="8"/>
      <c r="I12" s="8"/>
      <c r="J12" s="8"/>
      <c r="K12" s="8"/>
      <c r="L12" s="8"/>
      <c r="M12" s="8"/>
      <c r="N12" s="8"/>
      <c r="O12" s="105"/>
    </row>
    <row r="13" spans="2:15" ht="18" customHeight="1" x14ac:dyDescent="0.2">
      <c r="B13" s="103"/>
      <c r="C13" s="168" t="s">
        <v>11</v>
      </c>
      <c r="D13" s="95">
        <f>'Tank Summary'!O18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Summary'!$O$15="y",10.2,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Summary'!$O$15="y",10.2,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Summary'!$O$15="y",10.2,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Summary'!$O$15="y",10.2,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Summary'!$O$15="y",10.2,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Summary'!$O$15="y",10.2,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Summary'!$O$15="y",10.2,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Summary'!$O$15="y",10.2,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Summary'!$O$15="y",10.2,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Summary'!$O$15="y",10.2,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Summary'!$O$15="y",10.2,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Summary'!$O$15="y",10.2,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Summary'!$O$15="y",10.2,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Summary'!$O$15="y",10.2,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Summary'!$O$15="y",10.2,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Summary'!O15="n","",SUM(D53:D67)/SUM(B53:B67))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Summary'!O15="n","",AVERAGE(J53:J67))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Summary'!O15="n","",AVERAGE(L53:L67))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Summary'!O15="n","",(SUM(E53:E67)/SUM(B53:B67))-J70)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Summary'!O15="n","",$J$70*J72)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Summary'!O15="n","",J73/J74)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Summary'!O15="n","",(((((SUM(F53:F67)/SUM(B53:B67))*10^6/7.48)^(1/3))*$J$71)/9)*12)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5" t="e">
        <f>IF('Tank Summary'!O15="n","",IF(J73&lt;J74,"Mixing is at an undesirable level, use Mixing Analysis (Section II) to determine strategies that will increase mixing.","Mixing is at a desired level."))</f>
        <v>#DIV/0!</v>
      </c>
      <c r="J77" s="435"/>
      <c r="K77" s="435"/>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'Tank#4'!D10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'Tank#4'!D11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'Tank#4'!D13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IF(D8="y","","ft")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'Tank#4'!J73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Summary'!$O$15="y",10.2, IF(D97/$D$10&lt;=1,10.2,IF(D97/$D$10&gt;1,3.58*(D97/$D$10)+6.66)))</f>
        <v>#DIV/0!</v>
      </c>
      <c r="E101" s="135" t="e">
        <f>IF('Tank Summary'!$O$15="y",10.2, IF(E97/$D$10&lt;=1,10.2,IF(E97/$D$10&gt;1,3.58*(E97/$D$10)+6.66)))</f>
        <v>#DIV/0!</v>
      </c>
      <c r="F101" s="135" t="e">
        <f>IF('Tank Summary'!$O$15="y",10.2, IF(F97/$D$10&lt;=1,10.2,IF(F97/$D$10&gt;1,3.58*(F97/$D$10)+6.66)))</f>
        <v>#DIV/0!</v>
      </c>
      <c r="G101" s="135" t="e">
        <f>IF('Tank Summary'!$O$15="y",10.2, IF(G97/$D$10&lt;=1,10.2,IF(G97/$D$10&gt;1,3.58*(G97/$D$10)+6.66)))</f>
        <v>#DIV/0!</v>
      </c>
      <c r="H101" s="135" t="e">
        <f>IF('Tank Summary'!$O$15="y",10.2, IF(H97/$D$10&lt;=1,10.2,IF(H97/$D$10&gt;1,3.58*(H97/$D$10)+6.66)))</f>
        <v>#DIV/0!</v>
      </c>
      <c r="I101" s="135" t="e">
        <f>IF('Tank Summary'!$O$15="y",10.2,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'Tank#4'!J74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'Tank#4'!E74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'Tank#4'!E75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'Tank#4'!E72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'Tank#4'!E73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'Tank#4'!E70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'Tank#4'!E76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'Tank#4'!$E$77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'Tank#4'!$E$78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'Tank#4'!J75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'Tank#4'!$E$79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7"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E11:F12"/>
    <mergeCell ref="B2:O2"/>
    <mergeCell ref="C137:I141"/>
    <mergeCell ref="D80:F83"/>
    <mergeCell ref="E48:F49"/>
    <mergeCell ref="H74:I74"/>
    <mergeCell ref="H76:I76"/>
    <mergeCell ref="I77:L80"/>
    <mergeCell ref="H75:I75"/>
    <mergeCell ref="J50:L50"/>
    <mergeCell ref="K51:K52"/>
    <mergeCell ref="H69:K69"/>
  </mergeCells>
  <phoneticPr fontId="0" type="noConversion"/>
  <conditionalFormatting sqref="D112:I112">
    <cfRule type="cellIs" dxfId="47" priority="7" stopIfTrue="1" operator="greaterThanOrEqual">
      <formula>1</formula>
    </cfRule>
    <cfRule type="cellIs" dxfId="46" priority="8" stopIfTrue="1" operator="lessThan">
      <formula>1</formula>
    </cfRule>
  </conditionalFormatting>
  <conditionalFormatting sqref="D113:I113">
    <cfRule type="cellIs" dxfId="45" priority="5" stopIfTrue="1" operator="greaterThan">
      <formula>5</formula>
    </cfRule>
    <cfRule type="cellIs" dxfId="44" priority="6" stopIfTrue="1" operator="lessThanOrEqual">
      <formula>5</formula>
    </cfRule>
  </conditionalFormatting>
  <conditionalFormatting sqref="E79">
    <cfRule type="cellIs" dxfId="43" priority="3" stopIfTrue="1" operator="lessThanOrEqual">
      <formula>5</formula>
    </cfRule>
    <cfRule type="cellIs" dxfId="42" priority="4" stopIfTrue="1" operator="greaterThan">
      <formula>5</formula>
    </cfRule>
  </conditionalFormatting>
  <conditionalFormatting sqref="J75">
    <cfRule type="cellIs" dxfId="41" priority="1" stopIfTrue="1" operator="greaterThanOrEqual">
      <formula>1</formula>
    </cfRule>
    <cfRule type="cellIs" dxfId="40"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141"/>
  <sheetViews>
    <sheetView showGridLines="0" zoomScale="80" zoomScaleNormal="80" workbookViewId="0"/>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72</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77"/>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Summary'!P11</f>
        <v>0</v>
      </c>
      <c r="E5" s="104"/>
      <c r="F5" s="104"/>
      <c r="G5" s="8"/>
      <c r="H5" s="8"/>
      <c r="I5" s="8"/>
      <c r="J5" s="8"/>
      <c r="K5" s="8"/>
      <c r="L5" s="8"/>
      <c r="M5" s="8"/>
      <c r="N5" s="8"/>
      <c r="O5" s="105"/>
    </row>
    <row r="6" spans="2:15" ht="15.95" customHeight="1" x14ac:dyDescent="0.2">
      <c r="B6" s="103"/>
      <c r="C6" s="163" t="s">
        <v>114</v>
      </c>
      <c r="D6" s="170">
        <f>'Tank Summary'!P12</f>
        <v>0</v>
      </c>
      <c r="E6" s="104"/>
      <c r="F6" s="104"/>
      <c r="G6" s="8"/>
      <c r="H6" s="8"/>
      <c r="I6" s="8"/>
      <c r="J6" s="8"/>
      <c r="K6" s="8"/>
      <c r="L6" s="8"/>
      <c r="M6" s="8"/>
      <c r="N6" s="8"/>
      <c r="O6" s="105"/>
    </row>
    <row r="7" spans="2:15" ht="40.5" customHeight="1" x14ac:dyDescent="0.2">
      <c r="B7" s="103"/>
      <c r="C7" s="171" t="s">
        <v>77</v>
      </c>
      <c r="D7" s="95">
        <f>'Tank Summary'!P13</f>
        <v>0</v>
      </c>
      <c r="E7" s="166"/>
      <c r="F7" s="104"/>
      <c r="G7" s="167"/>
      <c r="H7" s="8"/>
      <c r="I7" s="8"/>
      <c r="J7" s="8"/>
      <c r="K7" s="8"/>
      <c r="L7" s="8"/>
      <c r="M7" s="8"/>
      <c r="N7" s="8"/>
      <c r="O7" s="105"/>
    </row>
    <row r="8" spans="2:15" ht="39.75" customHeight="1" x14ac:dyDescent="0.2">
      <c r="B8" s="103"/>
      <c r="C8" s="171" t="s">
        <v>80</v>
      </c>
      <c r="D8" s="172">
        <f>'Tank Summary'!P14</f>
        <v>0</v>
      </c>
      <c r="E8" s="166"/>
      <c r="F8" s="104"/>
      <c r="G8" s="167"/>
      <c r="H8" s="8"/>
      <c r="I8" s="8"/>
      <c r="J8" s="8"/>
      <c r="K8" s="8"/>
      <c r="L8" s="8"/>
      <c r="M8" s="8"/>
      <c r="N8" s="8"/>
      <c r="O8" s="105"/>
    </row>
    <row r="9" spans="2:15" ht="18" customHeight="1" x14ac:dyDescent="0.2">
      <c r="B9" s="103"/>
      <c r="C9" s="163" t="str">
        <f>IF(OR(D7="c",D7="r",D7="h"),"Maximum Water Depth, H:","")</f>
        <v/>
      </c>
      <c r="D9" s="173">
        <f>'Tank Summary'!P19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Summary'!P16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Summary'!P17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Summary'!P21</f>
        <v>#DIV/0!</v>
      </c>
      <c r="E12" s="420"/>
      <c r="F12" s="421"/>
      <c r="G12" s="167"/>
      <c r="H12" s="8"/>
      <c r="I12" s="8"/>
      <c r="J12" s="8"/>
      <c r="K12" s="8"/>
      <c r="L12" s="8"/>
      <c r="M12" s="8"/>
      <c r="N12" s="8"/>
      <c r="O12" s="105"/>
    </row>
    <row r="13" spans="2:15" ht="18" customHeight="1" x14ac:dyDescent="0.2">
      <c r="B13" s="103"/>
      <c r="C13" s="168" t="s">
        <v>11</v>
      </c>
      <c r="D13" s="95">
        <f>'Tank Summary'!P18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Summary'!$P$15="y",10.2,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Summary'!$P$15="y",10.2,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Summary'!$P$15="y",10.2,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Summary'!$P$15="y",10.2,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Summary'!$P$15="y",10.2,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Summary'!$P$15="y",10.2,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Summary'!$P$15="y",10.2,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Summary'!$P$15="y",10.2,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Summary'!$P$15="y",10.2,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Summary'!$P$15="y",10.2,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Summary'!$P$15="y",10.2,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Summary'!$P$15="y",10.2,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Summary'!$P$15="y",10.2,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Summary'!$P$15="y",10.2,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Summary'!$P$15="y",10.2,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Summary'!P15="n","",SUM(D53:D67)/SUM(B53:B67))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Summary'!P15="n","",AVERAGE(J53:J67))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Summary'!P15="n","",AVERAGE(L53:L67))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Summary'!P15="n","",(SUM(E53:E67)/SUM(B53:B67))-J70)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Summary'!P15="n","",$J$70*J72)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Summary'!P15="n","",J73/J74)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Summary'!P15="n","",(((((SUM(F53:F67)/SUM(B53:B67))*10^6/7.48)^(1/3))*$J$71)/9)*12)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5" t="e">
        <f>IF('Tank Summary'!P15="n","",IF(J73&lt;J74,"Mixing is at an undesirable level, use Mixing Analysis (Section II) to determine strategies that will increase mixing.","Mixing is at a desired level."))</f>
        <v>#DIV/0!</v>
      </c>
      <c r="J77" s="435"/>
      <c r="K77" s="435"/>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'Tank#5'!D10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'Tank#5'!D11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'Tank#5'!D13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IF(D8="y","","ft")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'Tank#5'!J73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Summary'!$P$15="y",10.2, IF(D97/$D$10&lt;=1,10.2,IF(D97/$D$10&gt;1,3.58*(D97/$D$10)+6.66)))</f>
        <v>#DIV/0!</v>
      </c>
      <c r="E101" s="135" t="e">
        <f>IF('Tank Summary'!$P$15="y",10.2, IF(E97/$D$10&lt;=1,10.2,IF(E97/$D$10&gt;1,3.58*(E97/$D$10)+6.66)))</f>
        <v>#DIV/0!</v>
      </c>
      <c r="F101" s="135" t="e">
        <f>IF('Tank Summary'!$P$15="y",10.2, IF(F97/$D$10&lt;=1,10.2,IF(F97/$D$10&gt;1,3.58*(F97/$D$10)+6.66)))</f>
        <v>#DIV/0!</v>
      </c>
      <c r="G101" s="135" t="e">
        <f>IF('Tank Summary'!$P$15="y",10.2, IF(G97/$D$10&lt;=1,10.2,IF(G97/$D$10&gt;1,3.58*(G97/$D$10)+6.66)))</f>
        <v>#DIV/0!</v>
      </c>
      <c r="H101" s="135" t="e">
        <f>IF('Tank Summary'!$P$15="y",10.2, IF(H97/$D$10&lt;=1,10.2,IF(H97/$D$10&gt;1,3.58*(H97/$D$10)+6.66)))</f>
        <v>#DIV/0!</v>
      </c>
      <c r="I101" s="135" t="e">
        <f>IF('Tank Summary'!$P$15="y",10.2,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'Tank#5'!J74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'Tank#5'!E74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'Tank#5'!E75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'Tank#5'!E72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'Tank#5'!E73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'Tank#5'!E70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'Tank#5'!E76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'Tank#5'!$E$77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'Tank#5'!$E$78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'Tank#5'!J75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'Tank#5'!$E$79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7.7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H69:K69"/>
    <mergeCell ref="C137:I141"/>
    <mergeCell ref="E11:F12"/>
    <mergeCell ref="B2:O2"/>
    <mergeCell ref="D80:F83"/>
    <mergeCell ref="E48:F49"/>
    <mergeCell ref="H74:I74"/>
    <mergeCell ref="H76:I76"/>
    <mergeCell ref="I77:L80"/>
    <mergeCell ref="H75:I75"/>
    <mergeCell ref="J50:L50"/>
    <mergeCell ref="K51:K52"/>
  </mergeCells>
  <phoneticPr fontId="0" type="noConversion"/>
  <conditionalFormatting sqref="D112:I112">
    <cfRule type="cellIs" dxfId="39" priority="7" stopIfTrue="1" operator="greaterThanOrEqual">
      <formula>1</formula>
    </cfRule>
    <cfRule type="cellIs" dxfId="38" priority="8" stopIfTrue="1" operator="lessThan">
      <formula>1</formula>
    </cfRule>
  </conditionalFormatting>
  <conditionalFormatting sqref="D113:I113">
    <cfRule type="cellIs" dxfId="37" priority="5" stopIfTrue="1" operator="greaterThan">
      <formula>5</formula>
    </cfRule>
    <cfRule type="cellIs" dxfId="36" priority="6" stopIfTrue="1" operator="lessThanOrEqual">
      <formula>5</formula>
    </cfRule>
  </conditionalFormatting>
  <conditionalFormatting sqref="E79">
    <cfRule type="cellIs" dxfId="35" priority="3" stopIfTrue="1" operator="lessThanOrEqual">
      <formula>5</formula>
    </cfRule>
    <cfRule type="cellIs" dxfId="34" priority="4" stopIfTrue="1" operator="greaterThan">
      <formula>5</formula>
    </cfRule>
  </conditionalFormatting>
  <conditionalFormatting sqref="J75">
    <cfRule type="cellIs" dxfId="33" priority="1" stopIfTrue="1" operator="greaterThanOrEqual">
      <formula>1</formula>
    </cfRule>
    <cfRule type="cellIs" dxfId="32"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141"/>
  <sheetViews>
    <sheetView showGridLines="0" zoomScale="80" zoomScaleNormal="80" workbookViewId="0">
      <selection activeCell="B1" sqref="A1:B1"/>
    </sheetView>
  </sheetViews>
  <sheetFormatPr defaultRowHeight="12.75" x14ac:dyDescent="0.2"/>
  <cols>
    <col min="1" max="2" width="1.5703125" style="1" customWidth="1"/>
    <col min="3" max="3" width="26" style="1" customWidth="1"/>
    <col min="4" max="9" width="17.85546875" style="1" customWidth="1"/>
    <col min="10" max="10" width="16.42578125" style="1" customWidth="1"/>
    <col min="11" max="11" width="10.85546875" style="1" customWidth="1"/>
    <col min="12" max="12" width="16.28515625" style="1" customWidth="1"/>
    <col min="13" max="13" width="9.140625" style="1"/>
    <col min="14" max="14" width="9.7109375" style="1" customWidth="1"/>
    <col min="15" max="16384" width="9.140625" style="1"/>
  </cols>
  <sheetData>
    <row r="1" spans="2:15" ht="13.5" thickBot="1" x14ac:dyDescent="0.25"/>
    <row r="2" spans="2:15" ht="20.25" customHeight="1" thickBot="1" x14ac:dyDescent="0.35">
      <c r="B2" s="424" t="s">
        <v>133</v>
      </c>
      <c r="C2" s="425"/>
      <c r="D2" s="425"/>
      <c r="E2" s="425"/>
      <c r="F2" s="425"/>
      <c r="G2" s="425"/>
      <c r="H2" s="425"/>
      <c r="I2" s="425"/>
      <c r="J2" s="425"/>
      <c r="K2" s="425"/>
      <c r="L2" s="425"/>
      <c r="M2" s="425"/>
      <c r="N2" s="425"/>
      <c r="O2" s="426"/>
    </row>
    <row r="3" spans="2:15" ht="18.75" thickBot="1" x14ac:dyDescent="0.3">
      <c r="B3" s="127" t="s">
        <v>240</v>
      </c>
      <c r="C3" s="128"/>
      <c r="D3" s="129"/>
      <c r="E3" s="128"/>
      <c r="F3" s="129"/>
      <c r="G3" s="129"/>
      <c r="H3" s="129"/>
      <c r="I3" s="129"/>
      <c r="J3" s="129"/>
      <c r="K3" s="129"/>
      <c r="L3" s="129"/>
      <c r="M3" s="129"/>
      <c r="N3" s="129"/>
      <c r="O3" s="130"/>
    </row>
    <row r="4" spans="2:15" ht="15.95" customHeight="1" x14ac:dyDescent="0.2">
      <c r="B4" s="103"/>
      <c r="C4" s="104"/>
      <c r="D4" s="8"/>
      <c r="E4" s="8"/>
      <c r="F4" s="8"/>
      <c r="G4" s="8"/>
      <c r="H4" s="8"/>
      <c r="I4" s="8"/>
      <c r="J4" s="8"/>
      <c r="K4" s="8"/>
      <c r="L4" s="8"/>
      <c r="M4" s="8"/>
      <c r="N4" s="8"/>
      <c r="O4" s="105"/>
    </row>
    <row r="5" spans="2:15" ht="15.95" customHeight="1" x14ac:dyDescent="0.2">
      <c r="B5" s="103"/>
      <c r="C5" s="168" t="s">
        <v>8</v>
      </c>
      <c r="D5" s="169">
        <f>'Tank Summary'!Q11</f>
        <v>0</v>
      </c>
      <c r="E5" s="104"/>
      <c r="F5" s="104"/>
      <c r="G5" s="8"/>
      <c r="H5" s="8"/>
      <c r="I5" s="8"/>
      <c r="J5" s="8"/>
      <c r="K5" s="8"/>
      <c r="L5" s="8"/>
      <c r="M5" s="8"/>
      <c r="N5" s="8"/>
      <c r="O5" s="105"/>
    </row>
    <row r="6" spans="2:15" ht="15.95" customHeight="1" x14ac:dyDescent="0.2">
      <c r="B6" s="103"/>
      <c r="C6" s="163" t="s">
        <v>114</v>
      </c>
      <c r="D6" s="170">
        <f>'Tank Summary'!Q12</f>
        <v>0</v>
      </c>
      <c r="E6" s="104"/>
      <c r="F6" s="104"/>
      <c r="G6" s="8"/>
      <c r="H6" s="8"/>
      <c r="I6" s="8"/>
      <c r="J6" s="8"/>
      <c r="K6" s="8"/>
      <c r="L6" s="8"/>
      <c r="M6" s="8"/>
      <c r="N6" s="8"/>
      <c r="O6" s="105"/>
    </row>
    <row r="7" spans="2:15" ht="40.5" customHeight="1" x14ac:dyDescent="0.2">
      <c r="B7" s="103"/>
      <c r="C7" s="171" t="s">
        <v>77</v>
      </c>
      <c r="D7" s="95">
        <f>'Tank Summary'!Q13</f>
        <v>0</v>
      </c>
      <c r="E7" s="166"/>
      <c r="F7" s="104"/>
      <c r="G7" s="167"/>
      <c r="H7" s="8"/>
      <c r="I7" s="8"/>
      <c r="J7" s="8"/>
      <c r="K7" s="8"/>
      <c r="L7" s="8"/>
      <c r="M7" s="8"/>
      <c r="N7" s="8"/>
      <c r="O7" s="105"/>
    </row>
    <row r="8" spans="2:15" ht="39.75" customHeight="1" x14ac:dyDescent="0.2">
      <c r="B8" s="103"/>
      <c r="C8" s="171" t="s">
        <v>80</v>
      </c>
      <c r="D8" s="172">
        <f>'Tank Summary'!Q14</f>
        <v>0</v>
      </c>
      <c r="E8" s="166"/>
      <c r="F8" s="104"/>
      <c r="G8" s="167"/>
      <c r="H8" s="8"/>
      <c r="I8" s="8"/>
      <c r="J8" s="8"/>
      <c r="K8" s="8"/>
      <c r="L8" s="8"/>
      <c r="M8" s="8"/>
      <c r="N8" s="8"/>
      <c r="O8" s="105"/>
    </row>
    <row r="9" spans="2:15" ht="18" customHeight="1" x14ac:dyDescent="0.2">
      <c r="B9" s="103"/>
      <c r="C9" s="163" t="str">
        <f>IF(OR(D7="c",D7="r",D7="h"),"Maximum Water Depth, H:","")</f>
        <v/>
      </c>
      <c r="D9" s="173">
        <f>'Tank Summary'!Q19</f>
        <v>0</v>
      </c>
      <c r="E9" s="104" t="str">
        <f>IF(OR(D7="c", D7="r",D7="h"),"ft","")</f>
        <v/>
      </c>
      <c r="F9" s="107"/>
      <c r="G9" s="8"/>
      <c r="H9" s="8"/>
      <c r="I9" s="8"/>
      <c r="J9" s="8"/>
      <c r="K9" s="8"/>
      <c r="L9" s="8"/>
      <c r="M9" s="8"/>
      <c r="N9" s="8"/>
      <c r="O9" s="105"/>
    </row>
    <row r="10" spans="2:15" ht="18" customHeight="1" x14ac:dyDescent="0.2">
      <c r="B10" s="103"/>
      <c r="C10" s="174" t="str">
        <f>IF(OR(D7="c", D7="h"), "Tank diameter, D:", IF(D7="r","Longest Sidewall Length, D:",""))</f>
        <v/>
      </c>
      <c r="D10" s="173">
        <f>'Tank Summary'!Q16</f>
        <v>0</v>
      </c>
      <c r="E10" s="104" t="str">
        <f>IF(OR(D7="c", D7="r",D7="h"),"ft","")</f>
        <v/>
      </c>
      <c r="F10" s="104"/>
      <c r="G10" s="167"/>
      <c r="H10" s="8"/>
      <c r="I10" s="8"/>
      <c r="J10" s="8"/>
      <c r="K10" s="8"/>
      <c r="L10" s="8"/>
      <c r="M10" s="8"/>
      <c r="N10" s="8"/>
      <c r="O10" s="105"/>
    </row>
    <row r="11" spans="2:15" ht="18" customHeight="1" x14ac:dyDescent="0.2">
      <c r="B11" s="103"/>
      <c r="C11" s="174" t="str">
        <f>IF(OR(D7="c", D7="h"),"",IF(D7="r","Shortest Sidewall Length, L:",""))</f>
        <v/>
      </c>
      <c r="D11" s="173">
        <f>'Tank Summary'!Q17</f>
        <v>0</v>
      </c>
      <c r="E11" s="420" t="str">
        <f>IF(OR(D7="c", D7="h"),"",IF(D7="r","ft",IF(D8="y","","Spreadsheet is not set up for shapes other than cylindrical, hydropillar, &amp; rectangular unless SCADA reports tank volume!")))</f>
        <v>Spreadsheet is not set up for shapes other than cylindrical, hydropillar, &amp; rectangular unless SCADA reports tank volume!</v>
      </c>
      <c r="F11" s="421"/>
      <c r="G11" s="167"/>
      <c r="H11" s="8"/>
      <c r="I11" s="8"/>
      <c r="J11" s="8"/>
      <c r="K11" s="8"/>
      <c r="L11" s="8"/>
      <c r="M11" s="8"/>
      <c r="N11" s="8"/>
      <c r="O11" s="105"/>
    </row>
    <row r="12" spans="2:15" ht="18" customHeight="1" x14ac:dyDescent="0.2">
      <c r="B12" s="103"/>
      <c r="C12" s="168" t="str">
        <f>IF(OR(D7="c",D7="h"), "H/D ratio:", IF(D7="r","H/D ratio:",""))</f>
        <v/>
      </c>
      <c r="D12" s="95" t="e">
        <f>'Tank Summary'!Q21</f>
        <v>#DIV/0!</v>
      </c>
      <c r="E12" s="420"/>
      <c r="F12" s="421"/>
      <c r="G12" s="167"/>
      <c r="H12" s="8"/>
      <c r="I12" s="8"/>
      <c r="J12" s="8"/>
      <c r="K12" s="8"/>
      <c r="L12" s="8"/>
      <c r="M12" s="8"/>
      <c r="N12" s="8"/>
      <c r="O12" s="105"/>
    </row>
    <row r="13" spans="2:15" ht="18" customHeight="1" x14ac:dyDescent="0.2">
      <c r="B13" s="103"/>
      <c r="C13" s="168" t="s">
        <v>11</v>
      </c>
      <c r="D13" s="95">
        <f>'Tank Summary'!Q18</f>
        <v>0</v>
      </c>
      <c r="E13" s="104" t="s">
        <v>1</v>
      </c>
      <c r="F13" s="104"/>
      <c r="G13" s="8"/>
      <c r="H13" s="8"/>
      <c r="I13" s="8"/>
      <c r="J13" s="8"/>
      <c r="K13" s="8"/>
      <c r="L13" s="8"/>
      <c r="M13" s="8"/>
      <c r="N13" s="8"/>
      <c r="O13" s="105"/>
    </row>
    <row r="14" spans="2:15" ht="15.95" customHeight="1" x14ac:dyDescent="0.2">
      <c r="B14" s="103"/>
      <c r="C14" s="31"/>
      <c r="D14" s="31"/>
      <c r="E14" s="31"/>
      <c r="F14" s="31"/>
      <c r="G14" s="31"/>
      <c r="H14" s="31"/>
      <c r="I14" s="31"/>
      <c r="J14" s="8"/>
      <c r="K14" s="8"/>
      <c r="L14" s="8"/>
      <c r="M14" s="8"/>
      <c r="N14" s="8"/>
      <c r="O14" s="105"/>
    </row>
    <row r="15" spans="2:15" ht="15.95" customHeight="1" x14ac:dyDescent="0.2">
      <c r="B15" s="103"/>
      <c r="C15" s="106" t="s">
        <v>247</v>
      </c>
      <c r="D15" s="56"/>
      <c r="E15" s="56"/>
      <c r="F15" s="56"/>
      <c r="G15" s="107"/>
      <c r="H15" s="107"/>
      <c r="I15" s="56"/>
      <c r="J15" s="8"/>
      <c r="K15" s="8"/>
      <c r="L15" s="108"/>
      <c r="M15" s="8"/>
      <c r="N15" s="8"/>
      <c r="O15" s="105"/>
    </row>
    <row r="16" spans="2:15" x14ac:dyDescent="0.2">
      <c r="B16" s="103"/>
      <c r="C16" s="13" t="s">
        <v>20</v>
      </c>
      <c r="D16" s="13" t="s">
        <v>21</v>
      </c>
      <c r="E16" s="13" t="str">
        <f>IF(D8="y","Vol at Start of Fill","Min Level")</f>
        <v>Min Level</v>
      </c>
      <c r="F16" s="13" t="str">
        <f>IF(D8="y","Vol at End of Fill","Max Level")</f>
        <v>Max Level</v>
      </c>
      <c r="G16" s="13" t="s">
        <v>22</v>
      </c>
      <c r="H16" s="13" t="s">
        <v>23</v>
      </c>
      <c r="I16" s="13" t="str">
        <f>IF(D8="y","Vol Change","Level Change")</f>
        <v>Level Change</v>
      </c>
      <c r="J16" s="8"/>
      <c r="K16" s="8"/>
      <c r="L16" s="8"/>
      <c r="M16" s="8"/>
      <c r="N16" s="8"/>
      <c r="O16" s="105"/>
    </row>
    <row r="17" spans="2:15" x14ac:dyDescent="0.2">
      <c r="B17" s="103"/>
      <c r="C17" s="14"/>
      <c r="D17" s="14"/>
      <c r="E17" s="14" t="str">
        <f>IF(D8="y","Gal","Ft")</f>
        <v>Ft</v>
      </c>
      <c r="F17" s="14" t="str">
        <f>IF(D8="y","Gal","Ft")</f>
        <v>Ft</v>
      </c>
      <c r="G17" s="14"/>
      <c r="H17" s="14" t="s">
        <v>24</v>
      </c>
      <c r="I17" s="14" t="str">
        <f>IF(D8="y","Gal","Ft")</f>
        <v>Ft</v>
      </c>
      <c r="J17" s="8"/>
      <c r="K17" s="8"/>
      <c r="L17" s="8"/>
      <c r="M17" s="8"/>
      <c r="N17" s="8"/>
      <c r="O17" s="105"/>
    </row>
    <row r="18" spans="2:15" x14ac:dyDescent="0.2">
      <c r="B18" s="103"/>
      <c r="C18" s="89"/>
      <c r="D18" s="90"/>
      <c r="E18" s="97"/>
      <c r="F18" s="97"/>
      <c r="G18" s="96">
        <f t="shared" ref="G18:G47" si="0">C18+D18</f>
        <v>0</v>
      </c>
      <c r="H18" s="12">
        <v>0</v>
      </c>
      <c r="I18" s="12" t="str">
        <f t="shared" ref="I18:I47" si="1">IF(G18,E18+F18,"")</f>
        <v/>
      </c>
      <c r="J18" s="8">
        <v>1</v>
      </c>
      <c r="K18" s="8"/>
      <c r="L18" s="8"/>
      <c r="M18" s="8"/>
      <c r="N18" s="8"/>
      <c r="O18" s="105"/>
    </row>
    <row r="19" spans="2:15" x14ac:dyDescent="0.2">
      <c r="B19" s="103"/>
      <c r="C19" s="89"/>
      <c r="D19" s="90"/>
      <c r="E19" s="97"/>
      <c r="F19" s="97"/>
      <c r="G19" s="96">
        <f t="shared" si="0"/>
        <v>0</v>
      </c>
      <c r="H19" s="11" t="str">
        <f t="shared" ref="H19:H47" si="2">IF(G19,G19-$G$18,"")</f>
        <v/>
      </c>
      <c r="I19" s="12" t="str">
        <f t="shared" si="1"/>
        <v/>
      </c>
      <c r="J19" s="8"/>
      <c r="K19" s="8"/>
      <c r="L19" s="8"/>
      <c r="M19" s="8"/>
      <c r="N19" s="8"/>
      <c r="O19" s="105"/>
    </row>
    <row r="20" spans="2:15" x14ac:dyDescent="0.2">
      <c r="B20" s="103"/>
      <c r="C20" s="91"/>
      <c r="D20" s="92"/>
      <c r="E20" s="98"/>
      <c r="F20" s="98"/>
      <c r="G20" s="100">
        <f t="shared" si="0"/>
        <v>0</v>
      </c>
      <c r="H20" s="29" t="str">
        <f t="shared" si="2"/>
        <v/>
      </c>
      <c r="I20" s="28" t="str">
        <f t="shared" si="1"/>
        <v/>
      </c>
      <c r="J20" s="8">
        <v>2</v>
      </c>
      <c r="K20" s="8"/>
      <c r="L20" s="8"/>
      <c r="M20" s="8"/>
      <c r="N20" s="8"/>
      <c r="O20" s="105"/>
    </row>
    <row r="21" spans="2:15" x14ac:dyDescent="0.2">
      <c r="B21" s="103"/>
      <c r="C21" s="91"/>
      <c r="D21" s="92"/>
      <c r="E21" s="98"/>
      <c r="F21" s="98"/>
      <c r="G21" s="100">
        <f t="shared" si="0"/>
        <v>0</v>
      </c>
      <c r="H21" s="29" t="str">
        <f t="shared" si="2"/>
        <v/>
      </c>
      <c r="I21" s="28" t="str">
        <f t="shared" si="1"/>
        <v/>
      </c>
      <c r="J21" s="8"/>
      <c r="K21" s="8"/>
      <c r="L21" s="8"/>
      <c r="M21" s="8"/>
      <c r="N21" s="8"/>
      <c r="O21" s="105"/>
    </row>
    <row r="22" spans="2:15" x14ac:dyDescent="0.2">
      <c r="B22" s="103"/>
      <c r="C22" s="89"/>
      <c r="D22" s="90"/>
      <c r="E22" s="97"/>
      <c r="F22" s="97"/>
      <c r="G22" s="96">
        <f t="shared" si="0"/>
        <v>0</v>
      </c>
      <c r="H22" s="11" t="str">
        <f t="shared" si="2"/>
        <v/>
      </c>
      <c r="I22" s="12" t="str">
        <f t="shared" si="1"/>
        <v/>
      </c>
      <c r="J22" s="8">
        <v>3</v>
      </c>
      <c r="K22" s="8"/>
      <c r="L22" s="8"/>
      <c r="M22" s="8"/>
      <c r="N22" s="8"/>
      <c r="O22" s="105"/>
    </row>
    <row r="23" spans="2:15" x14ac:dyDescent="0.2">
      <c r="B23" s="103"/>
      <c r="C23" s="89"/>
      <c r="D23" s="90"/>
      <c r="E23" s="97"/>
      <c r="F23" s="97"/>
      <c r="G23" s="96">
        <f t="shared" si="0"/>
        <v>0</v>
      </c>
      <c r="H23" s="11" t="str">
        <f t="shared" si="2"/>
        <v/>
      </c>
      <c r="I23" s="12" t="str">
        <f t="shared" si="1"/>
        <v/>
      </c>
      <c r="J23" s="8"/>
      <c r="K23" s="8"/>
      <c r="L23" s="8"/>
      <c r="M23" s="8"/>
      <c r="N23" s="8"/>
      <c r="O23" s="105"/>
    </row>
    <row r="24" spans="2:15" x14ac:dyDescent="0.2">
      <c r="B24" s="103"/>
      <c r="C24" s="91"/>
      <c r="D24" s="92"/>
      <c r="E24" s="98"/>
      <c r="F24" s="98"/>
      <c r="G24" s="100">
        <f t="shared" si="0"/>
        <v>0</v>
      </c>
      <c r="H24" s="29" t="str">
        <f t="shared" si="2"/>
        <v/>
      </c>
      <c r="I24" s="28" t="str">
        <f t="shared" si="1"/>
        <v/>
      </c>
      <c r="J24" s="8">
        <v>4</v>
      </c>
      <c r="K24" s="8"/>
      <c r="L24" s="8"/>
      <c r="M24" s="8"/>
      <c r="N24" s="8"/>
      <c r="O24" s="105"/>
    </row>
    <row r="25" spans="2:15" x14ac:dyDescent="0.2">
      <c r="B25" s="103"/>
      <c r="C25" s="91"/>
      <c r="D25" s="92"/>
      <c r="E25" s="98"/>
      <c r="F25" s="98"/>
      <c r="G25" s="100">
        <f t="shared" si="0"/>
        <v>0</v>
      </c>
      <c r="H25" s="29" t="str">
        <f t="shared" si="2"/>
        <v/>
      </c>
      <c r="I25" s="28" t="str">
        <f t="shared" si="1"/>
        <v/>
      </c>
      <c r="J25" s="8"/>
      <c r="K25" s="8"/>
      <c r="L25" s="8"/>
      <c r="M25" s="8"/>
      <c r="N25" s="8"/>
      <c r="O25" s="105"/>
    </row>
    <row r="26" spans="2:15" x14ac:dyDescent="0.2">
      <c r="B26" s="103"/>
      <c r="C26" s="99"/>
      <c r="D26" s="90"/>
      <c r="E26" s="97"/>
      <c r="F26" s="97"/>
      <c r="G26" s="96">
        <f t="shared" si="0"/>
        <v>0</v>
      </c>
      <c r="H26" s="11" t="str">
        <f t="shared" si="2"/>
        <v/>
      </c>
      <c r="I26" s="12" t="str">
        <f t="shared" si="1"/>
        <v/>
      </c>
      <c r="J26" s="8">
        <v>5</v>
      </c>
      <c r="K26" s="8"/>
      <c r="L26" s="8"/>
      <c r="M26" s="8"/>
      <c r="N26" s="8"/>
      <c r="O26" s="105"/>
    </row>
    <row r="27" spans="2:15" x14ac:dyDescent="0.2">
      <c r="B27" s="103"/>
      <c r="C27" s="99"/>
      <c r="D27" s="90"/>
      <c r="E27" s="97"/>
      <c r="F27" s="97"/>
      <c r="G27" s="96">
        <f t="shared" si="0"/>
        <v>0</v>
      </c>
      <c r="H27" s="11" t="str">
        <f t="shared" si="2"/>
        <v/>
      </c>
      <c r="I27" s="12" t="str">
        <f t="shared" si="1"/>
        <v/>
      </c>
      <c r="J27" s="8"/>
      <c r="K27" s="8"/>
      <c r="L27" s="8"/>
      <c r="M27" s="8"/>
      <c r="N27" s="8"/>
      <c r="O27" s="105"/>
    </row>
    <row r="28" spans="2:15" x14ac:dyDescent="0.2">
      <c r="B28" s="103"/>
      <c r="C28" s="91"/>
      <c r="D28" s="92"/>
      <c r="E28" s="98"/>
      <c r="F28" s="98"/>
      <c r="G28" s="100">
        <f t="shared" si="0"/>
        <v>0</v>
      </c>
      <c r="H28" s="29" t="str">
        <f t="shared" si="2"/>
        <v/>
      </c>
      <c r="I28" s="28" t="str">
        <f t="shared" si="1"/>
        <v/>
      </c>
      <c r="J28" s="8">
        <v>6</v>
      </c>
      <c r="K28" s="8"/>
      <c r="L28" s="8"/>
      <c r="M28" s="8"/>
      <c r="N28" s="8"/>
      <c r="O28" s="105"/>
    </row>
    <row r="29" spans="2:15" x14ac:dyDescent="0.2">
      <c r="B29" s="103"/>
      <c r="C29" s="91"/>
      <c r="D29" s="92"/>
      <c r="E29" s="98"/>
      <c r="F29" s="98"/>
      <c r="G29" s="100">
        <f t="shared" si="0"/>
        <v>0</v>
      </c>
      <c r="H29" s="29" t="str">
        <f t="shared" si="2"/>
        <v/>
      </c>
      <c r="I29" s="28" t="str">
        <f t="shared" si="1"/>
        <v/>
      </c>
      <c r="J29" s="8"/>
      <c r="K29" s="8"/>
      <c r="L29" s="8"/>
      <c r="M29" s="8"/>
      <c r="N29" s="8"/>
      <c r="O29" s="105"/>
    </row>
    <row r="30" spans="2:15" x14ac:dyDescent="0.2">
      <c r="B30" s="103"/>
      <c r="C30" s="99"/>
      <c r="D30" s="90"/>
      <c r="E30" s="97"/>
      <c r="F30" s="145"/>
      <c r="G30" s="96">
        <f t="shared" si="0"/>
        <v>0</v>
      </c>
      <c r="H30" s="11" t="str">
        <f t="shared" si="2"/>
        <v/>
      </c>
      <c r="I30" s="12" t="str">
        <f t="shared" si="1"/>
        <v/>
      </c>
      <c r="J30" s="8">
        <v>7</v>
      </c>
      <c r="K30" s="8"/>
      <c r="L30" s="8"/>
      <c r="M30" s="8"/>
      <c r="N30" s="8"/>
      <c r="O30" s="105"/>
    </row>
    <row r="31" spans="2:15" x14ac:dyDescent="0.2">
      <c r="B31" s="103"/>
      <c r="C31" s="99"/>
      <c r="D31" s="90"/>
      <c r="E31" s="97"/>
      <c r="F31" s="97"/>
      <c r="G31" s="96">
        <f t="shared" si="0"/>
        <v>0</v>
      </c>
      <c r="H31" s="11" t="str">
        <f t="shared" si="2"/>
        <v/>
      </c>
      <c r="I31" s="12" t="str">
        <f t="shared" si="1"/>
        <v/>
      </c>
      <c r="J31" s="8"/>
      <c r="K31" s="8"/>
      <c r="L31" s="8"/>
      <c r="M31" s="8"/>
      <c r="N31" s="8"/>
      <c r="O31" s="105"/>
    </row>
    <row r="32" spans="2:15" x14ac:dyDescent="0.2">
      <c r="B32" s="103"/>
      <c r="C32" s="91"/>
      <c r="D32" s="92"/>
      <c r="E32" s="98"/>
      <c r="F32" s="98"/>
      <c r="G32" s="100">
        <f t="shared" si="0"/>
        <v>0</v>
      </c>
      <c r="H32" s="29" t="str">
        <f t="shared" si="2"/>
        <v/>
      </c>
      <c r="I32" s="28" t="str">
        <f t="shared" si="1"/>
        <v/>
      </c>
      <c r="J32" s="8">
        <v>8</v>
      </c>
      <c r="K32" s="8"/>
      <c r="L32" s="8"/>
      <c r="M32" s="8"/>
      <c r="N32" s="8"/>
      <c r="O32" s="105"/>
    </row>
    <row r="33" spans="2:15" x14ac:dyDescent="0.2">
      <c r="B33" s="103"/>
      <c r="C33" s="91"/>
      <c r="D33" s="92"/>
      <c r="E33" s="98"/>
      <c r="F33" s="98"/>
      <c r="G33" s="100">
        <f t="shared" si="0"/>
        <v>0</v>
      </c>
      <c r="H33" s="29" t="str">
        <f t="shared" si="2"/>
        <v/>
      </c>
      <c r="I33" s="28" t="str">
        <f t="shared" si="1"/>
        <v/>
      </c>
      <c r="J33" s="8"/>
      <c r="K33" s="8"/>
      <c r="L33" s="8"/>
      <c r="M33" s="8"/>
      <c r="N33" s="8"/>
      <c r="O33" s="105"/>
    </row>
    <row r="34" spans="2:15" x14ac:dyDescent="0.2">
      <c r="B34" s="103"/>
      <c r="C34" s="99"/>
      <c r="D34" s="90"/>
      <c r="E34" s="97"/>
      <c r="F34" s="97"/>
      <c r="G34" s="96">
        <f t="shared" si="0"/>
        <v>0</v>
      </c>
      <c r="H34" s="11" t="str">
        <f t="shared" si="2"/>
        <v/>
      </c>
      <c r="I34" s="12" t="str">
        <f t="shared" si="1"/>
        <v/>
      </c>
      <c r="J34" s="8">
        <v>9</v>
      </c>
      <c r="K34" s="8"/>
      <c r="L34" s="8"/>
      <c r="M34" s="8"/>
      <c r="N34" s="8"/>
      <c r="O34" s="105"/>
    </row>
    <row r="35" spans="2:15" x14ac:dyDescent="0.2">
      <c r="B35" s="103"/>
      <c r="C35" s="99"/>
      <c r="D35" s="90"/>
      <c r="E35" s="97"/>
      <c r="F35" s="97"/>
      <c r="G35" s="96">
        <f t="shared" si="0"/>
        <v>0</v>
      </c>
      <c r="H35" s="11" t="str">
        <f t="shared" si="2"/>
        <v/>
      </c>
      <c r="I35" s="12" t="str">
        <f t="shared" si="1"/>
        <v/>
      </c>
      <c r="J35" s="8"/>
      <c r="K35" s="8"/>
      <c r="L35" s="8"/>
      <c r="M35" s="8"/>
      <c r="N35" s="8"/>
      <c r="O35" s="105"/>
    </row>
    <row r="36" spans="2:15" x14ac:dyDescent="0.2">
      <c r="B36" s="103"/>
      <c r="C36" s="91"/>
      <c r="D36" s="92"/>
      <c r="E36" s="98"/>
      <c r="F36" s="98"/>
      <c r="G36" s="100">
        <f t="shared" si="0"/>
        <v>0</v>
      </c>
      <c r="H36" s="29" t="str">
        <f t="shared" si="2"/>
        <v/>
      </c>
      <c r="I36" s="28" t="str">
        <f t="shared" si="1"/>
        <v/>
      </c>
      <c r="J36" s="8">
        <v>10</v>
      </c>
      <c r="K36" s="8"/>
      <c r="L36" s="8"/>
      <c r="M36" s="8"/>
      <c r="N36" s="8"/>
      <c r="O36" s="105"/>
    </row>
    <row r="37" spans="2:15" x14ac:dyDescent="0.2">
      <c r="B37" s="103"/>
      <c r="C37" s="91"/>
      <c r="D37" s="92"/>
      <c r="E37" s="98"/>
      <c r="F37" s="98"/>
      <c r="G37" s="100">
        <f t="shared" si="0"/>
        <v>0</v>
      </c>
      <c r="H37" s="28" t="str">
        <f t="shared" si="2"/>
        <v/>
      </c>
      <c r="I37" s="28" t="str">
        <f t="shared" si="1"/>
        <v/>
      </c>
      <c r="J37" s="8"/>
      <c r="K37" s="8"/>
      <c r="L37" s="8"/>
      <c r="M37" s="8"/>
      <c r="N37" s="8"/>
      <c r="O37" s="105"/>
    </row>
    <row r="38" spans="2:15" x14ac:dyDescent="0.2">
      <c r="B38" s="103"/>
      <c r="C38" s="99"/>
      <c r="D38" s="90"/>
      <c r="E38" s="97"/>
      <c r="F38" s="97"/>
      <c r="G38" s="96">
        <f t="shared" si="0"/>
        <v>0</v>
      </c>
      <c r="H38" s="12" t="str">
        <f t="shared" si="2"/>
        <v/>
      </c>
      <c r="I38" s="12" t="str">
        <f t="shared" si="1"/>
        <v/>
      </c>
      <c r="J38" s="8">
        <v>11</v>
      </c>
      <c r="K38" s="8"/>
      <c r="L38" s="8"/>
      <c r="M38" s="8"/>
      <c r="N38" s="8"/>
      <c r="O38" s="105"/>
    </row>
    <row r="39" spans="2:15" x14ac:dyDescent="0.2">
      <c r="B39" s="103"/>
      <c r="C39" s="99"/>
      <c r="D39" s="90"/>
      <c r="E39" s="97"/>
      <c r="F39" s="97"/>
      <c r="G39" s="96">
        <f t="shared" si="0"/>
        <v>0</v>
      </c>
      <c r="H39" s="12" t="str">
        <f t="shared" si="2"/>
        <v/>
      </c>
      <c r="I39" s="12" t="str">
        <f t="shared" si="1"/>
        <v/>
      </c>
      <c r="J39" s="8"/>
      <c r="K39" s="8"/>
      <c r="L39" s="8"/>
      <c r="M39" s="8"/>
      <c r="N39" s="8"/>
      <c r="O39" s="105"/>
    </row>
    <row r="40" spans="2:15" x14ac:dyDescent="0.2">
      <c r="B40" s="103"/>
      <c r="C40" s="91"/>
      <c r="D40" s="92"/>
      <c r="E40" s="98"/>
      <c r="F40" s="98"/>
      <c r="G40" s="100">
        <f t="shared" si="0"/>
        <v>0</v>
      </c>
      <c r="H40" s="28" t="str">
        <f t="shared" si="2"/>
        <v/>
      </c>
      <c r="I40" s="28" t="str">
        <f t="shared" si="1"/>
        <v/>
      </c>
      <c r="J40" s="8">
        <v>12</v>
      </c>
      <c r="K40" s="8"/>
      <c r="L40" s="8"/>
      <c r="M40" s="8"/>
      <c r="N40" s="8"/>
      <c r="O40" s="105"/>
    </row>
    <row r="41" spans="2:15" x14ac:dyDescent="0.2">
      <c r="B41" s="103"/>
      <c r="C41" s="91"/>
      <c r="D41" s="92"/>
      <c r="E41" s="98"/>
      <c r="F41" s="98"/>
      <c r="G41" s="100">
        <f t="shared" si="0"/>
        <v>0</v>
      </c>
      <c r="H41" s="28" t="str">
        <f t="shared" si="2"/>
        <v/>
      </c>
      <c r="I41" s="28" t="str">
        <f t="shared" si="1"/>
        <v/>
      </c>
      <c r="J41" s="8"/>
      <c r="K41" s="8"/>
      <c r="L41" s="8"/>
      <c r="M41" s="8"/>
      <c r="N41" s="8"/>
      <c r="O41" s="105"/>
    </row>
    <row r="42" spans="2:15" x14ac:dyDescent="0.2">
      <c r="B42" s="103"/>
      <c r="C42" s="99"/>
      <c r="D42" s="90"/>
      <c r="E42" s="97"/>
      <c r="F42" s="97"/>
      <c r="G42" s="96">
        <f t="shared" si="0"/>
        <v>0</v>
      </c>
      <c r="H42" s="12" t="str">
        <f t="shared" si="2"/>
        <v/>
      </c>
      <c r="I42" s="12" t="str">
        <f t="shared" si="1"/>
        <v/>
      </c>
      <c r="J42" s="8">
        <v>13</v>
      </c>
      <c r="K42" s="8"/>
      <c r="L42" s="8"/>
      <c r="M42" s="8"/>
      <c r="N42" s="8"/>
      <c r="O42" s="105"/>
    </row>
    <row r="43" spans="2:15" x14ac:dyDescent="0.2">
      <c r="B43" s="103"/>
      <c r="C43" s="99"/>
      <c r="D43" s="90"/>
      <c r="E43" s="97"/>
      <c r="F43" s="97"/>
      <c r="G43" s="96">
        <f t="shared" si="0"/>
        <v>0</v>
      </c>
      <c r="H43" s="12" t="str">
        <f t="shared" si="2"/>
        <v/>
      </c>
      <c r="I43" s="12" t="str">
        <f t="shared" si="1"/>
        <v/>
      </c>
      <c r="J43" s="8"/>
      <c r="K43" s="8"/>
      <c r="L43" s="8"/>
      <c r="M43" s="8"/>
      <c r="N43" s="8"/>
      <c r="O43" s="105"/>
    </row>
    <row r="44" spans="2:15" x14ac:dyDescent="0.2">
      <c r="B44" s="103"/>
      <c r="C44" s="91"/>
      <c r="D44" s="92"/>
      <c r="E44" s="98"/>
      <c r="F44" s="98"/>
      <c r="G44" s="100">
        <f t="shared" si="0"/>
        <v>0</v>
      </c>
      <c r="H44" s="28" t="str">
        <f t="shared" si="2"/>
        <v/>
      </c>
      <c r="I44" s="28" t="str">
        <f t="shared" si="1"/>
        <v/>
      </c>
      <c r="J44" s="8">
        <v>14</v>
      </c>
      <c r="K44" s="8"/>
      <c r="L44" s="8"/>
      <c r="M44" s="8"/>
      <c r="N44" s="8"/>
      <c r="O44" s="105"/>
    </row>
    <row r="45" spans="2:15" x14ac:dyDescent="0.2">
      <c r="B45" s="103"/>
      <c r="C45" s="91"/>
      <c r="D45" s="92"/>
      <c r="E45" s="98"/>
      <c r="F45" s="98"/>
      <c r="G45" s="100">
        <f t="shared" si="0"/>
        <v>0</v>
      </c>
      <c r="H45" s="28" t="str">
        <f t="shared" si="2"/>
        <v/>
      </c>
      <c r="I45" s="28" t="str">
        <f t="shared" si="1"/>
        <v/>
      </c>
      <c r="J45" s="8"/>
      <c r="K45" s="8"/>
      <c r="L45" s="8"/>
      <c r="M45" s="8"/>
      <c r="N45" s="8"/>
      <c r="O45" s="105"/>
    </row>
    <row r="46" spans="2:15" x14ac:dyDescent="0.2">
      <c r="B46" s="103"/>
      <c r="C46" s="99"/>
      <c r="D46" s="90"/>
      <c r="E46" s="97"/>
      <c r="F46" s="97"/>
      <c r="G46" s="96">
        <f t="shared" si="0"/>
        <v>0</v>
      </c>
      <c r="H46" s="12" t="str">
        <f t="shared" si="2"/>
        <v/>
      </c>
      <c r="I46" s="12" t="str">
        <f t="shared" si="1"/>
        <v/>
      </c>
      <c r="J46" s="8">
        <v>15</v>
      </c>
      <c r="K46" s="8"/>
      <c r="L46" s="8"/>
      <c r="M46" s="8"/>
      <c r="N46" s="8"/>
      <c r="O46" s="105"/>
    </row>
    <row r="47" spans="2:15" x14ac:dyDescent="0.2">
      <c r="B47" s="103"/>
      <c r="C47" s="99"/>
      <c r="D47" s="90"/>
      <c r="E47" s="97"/>
      <c r="F47" s="97"/>
      <c r="G47" s="96">
        <f t="shared" si="0"/>
        <v>0</v>
      </c>
      <c r="H47" s="12" t="str">
        <f t="shared" si="2"/>
        <v/>
      </c>
      <c r="I47" s="12" t="str">
        <f t="shared" si="1"/>
        <v/>
      </c>
      <c r="J47" s="8"/>
      <c r="K47" s="8"/>
      <c r="L47" s="8"/>
      <c r="M47" s="8"/>
      <c r="N47" s="8"/>
      <c r="O47" s="105"/>
    </row>
    <row r="48" spans="2:15" x14ac:dyDescent="0.2">
      <c r="B48" s="103"/>
      <c r="C48" s="8"/>
      <c r="D48" s="8"/>
      <c r="E48" s="429" t="str">
        <f>IF(COUNT(E16:E47)=COUNT(F16:F47),"", "Please enter complete fill periods (i.e., equal number of min and max levels)!")</f>
        <v/>
      </c>
      <c r="F48" s="429"/>
      <c r="G48" s="8"/>
      <c r="H48" s="8"/>
      <c r="I48" s="8"/>
      <c r="J48" s="8"/>
      <c r="K48" s="8"/>
      <c r="L48" s="8"/>
      <c r="M48" s="8"/>
      <c r="N48" s="8"/>
      <c r="O48" s="105"/>
    </row>
    <row r="49" spans="2:15" ht="27" hidden="1" customHeight="1" thickBot="1" x14ac:dyDescent="0.25">
      <c r="B49" s="103"/>
      <c r="C49" s="8"/>
      <c r="D49" s="8"/>
      <c r="E49" s="430"/>
      <c r="F49" s="430"/>
      <c r="G49" s="8"/>
      <c r="H49" s="8"/>
      <c r="I49" s="8"/>
      <c r="J49" s="8"/>
      <c r="K49" s="8"/>
      <c r="L49" s="8"/>
      <c r="M49" s="8"/>
      <c r="N49" s="8"/>
      <c r="O49" s="105"/>
    </row>
    <row r="50" spans="2:15" hidden="1" x14ac:dyDescent="0.2">
      <c r="B50" s="103"/>
      <c r="C50" s="17" t="s">
        <v>0</v>
      </c>
      <c r="D50" s="18" t="str">
        <f>IF(D8="y","Vol at Start of Fill","Low/Min Level")</f>
        <v>Low/Min Level</v>
      </c>
      <c r="E50" s="18" t="str">
        <f>IF(D8="y","Vol at End of Fill","High/Max Level")</f>
        <v>High/Max Level</v>
      </c>
      <c r="F50" s="18" t="s">
        <v>14</v>
      </c>
      <c r="G50" s="70" t="s">
        <v>17</v>
      </c>
      <c r="H50" s="18" t="s">
        <v>45</v>
      </c>
      <c r="I50" s="73" t="s">
        <v>6</v>
      </c>
      <c r="J50" s="438" t="s">
        <v>12</v>
      </c>
      <c r="K50" s="439"/>
      <c r="L50" s="440"/>
      <c r="M50" s="53"/>
      <c r="N50" s="54"/>
      <c r="O50" s="105"/>
    </row>
    <row r="51" spans="2:15" hidden="1" x14ac:dyDescent="0.2">
      <c r="B51" s="103"/>
      <c r="C51" s="19"/>
      <c r="D51" s="20"/>
      <c r="E51" s="20"/>
      <c r="F51" s="20" t="s">
        <v>15</v>
      </c>
      <c r="G51" s="71" t="s">
        <v>16</v>
      </c>
      <c r="H51" s="20" t="s">
        <v>46</v>
      </c>
      <c r="I51" s="74" t="s">
        <v>16</v>
      </c>
      <c r="J51" s="20" t="s">
        <v>10</v>
      </c>
      <c r="K51" s="441" t="s">
        <v>111</v>
      </c>
      <c r="L51" s="48" t="s">
        <v>13</v>
      </c>
      <c r="M51" s="20" t="s">
        <v>26</v>
      </c>
      <c r="N51" s="23" t="s">
        <v>27</v>
      </c>
      <c r="O51" s="105"/>
    </row>
    <row r="52" spans="2:15" ht="26.25" hidden="1" customHeight="1" thickBot="1" x14ac:dyDescent="0.25">
      <c r="B52" s="103"/>
      <c r="C52" s="21"/>
      <c r="D52" s="22" t="str">
        <f>IF(D8="y","(gal)","(ft)")</f>
        <v>(ft)</v>
      </c>
      <c r="E52" s="22" t="str">
        <f>IF(D8="y","(gal)","(ft)")</f>
        <v>(ft)</v>
      </c>
      <c r="F52" s="22" t="s">
        <v>18</v>
      </c>
      <c r="G52" s="72" t="s">
        <v>18</v>
      </c>
      <c r="H52" s="22" t="s">
        <v>18</v>
      </c>
      <c r="I52" s="75" t="s">
        <v>18</v>
      </c>
      <c r="J52" s="55" t="s">
        <v>36</v>
      </c>
      <c r="K52" s="442"/>
      <c r="L52" s="55" t="s">
        <v>36</v>
      </c>
      <c r="M52" s="22" t="s">
        <v>66</v>
      </c>
      <c r="N52" s="94" t="s">
        <v>66</v>
      </c>
      <c r="O52" s="105"/>
    </row>
    <row r="53" spans="2:15" ht="13.5" hidden="1" thickTop="1" x14ac:dyDescent="0.2">
      <c r="B53" s="103">
        <f t="shared" ref="B53:B67" si="3">IF(D53=0,0,1)</f>
        <v>0</v>
      </c>
      <c r="C53" s="76">
        <v>1</v>
      </c>
      <c r="D53" s="77">
        <f>IF(ISBLANK(E18),E19,E18)</f>
        <v>0</v>
      </c>
      <c r="E53" s="77">
        <f>IF(ISBLANK(F18),F19,F18)</f>
        <v>0</v>
      </c>
      <c r="F53" s="93" t="str">
        <f t="shared" ref="F53:F67" si="4">IF(OR($D$7="c",$D$7="h"),($D53)*PI()*($D$10/2)^2*7.48/10^6,IF($D$7="r",$D53*$D$10*$D$11*7.48/10^6,IF($D$8="y",$D53/10^6,"error")))</f>
        <v>error</v>
      </c>
      <c r="G53" s="93" t="str">
        <f t="shared" ref="G53:G67" si="5">IF(OR($D$7="c",$D$7="h"),($E53-$D53)*PI()*($D$10/2)^2*7.48/10^6,IF($D$7="r",($E53-$D53)*$D$10*$D$11*7.48/10^6,IF($D$8="y",($E53-$D53)/10^6,"error")))</f>
        <v>error</v>
      </c>
      <c r="H53" s="51"/>
      <c r="I53" s="78" t="str">
        <f t="shared" ref="I53:I67" si="6">IF(D53+E53=0,"n/a",IF(OR($D$7="c",$D$7="h"),((D53+E53)/2)*PI()*($D$10/2)^2*7.48/10^6,IF($D$7="r",((D53+E53)/2)*$D$10*$D$11*7.48/10^6,IF($D$8="y",((D53+E53)/2)/10^6,""))))</f>
        <v>n/a</v>
      </c>
      <c r="J53" s="51" t="e">
        <f t="shared" ref="J53:J67" si="7">IF(G53=0,"n/a",G53/F53)</f>
        <v>#VALUE!</v>
      </c>
      <c r="K53" s="79" t="e">
        <f>IF('Tank Summary'!$Q$15="y",10.2, IF(E53/$D$10&lt;=1,10.2,IF(E53/$D$10&gt;1,3.58*(E53/$D$10)+6.66)))</f>
        <v>#DIV/0!</v>
      </c>
      <c r="L53" s="79" t="e">
        <f t="shared" ref="L53:L67" si="8">IF(F53=0,"n/a",((K53/1.13)*$D$13)/((F53*10^6/7.48)^(1/3)))</f>
        <v>#DIV/0!</v>
      </c>
      <c r="M53" s="51" t="str">
        <f>IF(ISERROR(H19-H18),"n/a",IF(ISBLANK(E18), "n/a",H19-H18))</f>
        <v>n/a</v>
      </c>
      <c r="N53" s="52" t="str">
        <f>IF(ISERROR(H19-H18),"n/a",IF(ISBLANK(E18), H19-H18,"n/a"))</f>
        <v>n/a</v>
      </c>
      <c r="O53" s="105"/>
    </row>
    <row r="54" spans="2:15" hidden="1" x14ac:dyDescent="0.2">
      <c r="B54" s="103">
        <f t="shared" si="3"/>
        <v>0</v>
      </c>
      <c r="C54" s="80">
        <v>2</v>
      </c>
      <c r="D54" s="77">
        <f>IF(ISBLANK(E20),E21,E20)</f>
        <v>0</v>
      </c>
      <c r="E54" s="77">
        <f>IF(ISBLANK(F20),F21,F20)</f>
        <v>0</v>
      </c>
      <c r="F54" s="34" t="str">
        <f t="shared" si="4"/>
        <v>error</v>
      </c>
      <c r="G54" s="34" t="str">
        <f t="shared" si="5"/>
        <v>error</v>
      </c>
      <c r="H54" s="51" t="str">
        <f t="shared" ref="H54:H67" si="9">IF(D54,IF(OR($D$7="c",$D$7="h"),($E53-$D54)*PI()*($D$10/2)^2*7.48/10^6,IF($D$7="r",($E53-$D54)*$D$10*$D$11*7.48/10^6,IF($D$8="y",($E53-$D54)/10^6,""))),"")</f>
        <v/>
      </c>
      <c r="I54" s="78" t="str">
        <f t="shared" si="6"/>
        <v>n/a</v>
      </c>
      <c r="J54" s="11" t="e">
        <f t="shared" si="7"/>
        <v>#VALUE!</v>
      </c>
      <c r="K54" s="79" t="e">
        <f>IF('Tank Summary'!$Q$15="y",10.2, IF(E54/$D$10&lt;=1,10.2,IF(E54/$D$10&gt;1,3.58*(E54/$D$10)+6.66)))</f>
        <v>#DIV/0!</v>
      </c>
      <c r="L54" s="79" t="e">
        <f t="shared" si="8"/>
        <v>#DIV/0!</v>
      </c>
      <c r="M54" s="11" t="str">
        <f>IF(ISERROR(H21-H20),"n/a",IF(ISBLANK(E20), H20-H19,H21-H20))</f>
        <v>n/a</v>
      </c>
      <c r="N54" s="49" t="str">
        <f>IF(ISERROR(H21-H20),"n/a",IF(ISBLANK(E20), H21-H20,H20-H19))</f>
        <v>n/a</v>
      </c>
      <c r="O54" s="105"/>
    </row>
    <row r="55" spans="2:15" hidden="1" x14ac:dyDescent="0.2">
      <c r="B55" s="103">
        <f t="shared" si="3"/>
        <v>0</v>
      </c>
      <c r="C55" s="80">
        <v>3</v>
      </c>
      <c r="D55" s="77">
        <f>IF(ISBLANK(E22),E23,E22)</f>
        <v>0</v>
      </c>
      <c r="E55" s="77">
        <f>IF(ISBLANK(F22),F23,F22)</f>
        <v>0</v>
      </c>
      <c r="F55" s="34" t="str">
        <f t="shared" si="4"/>
        <v>error</v>
      </c>
      <c r="G55" s="34" t="str">
        <f t="shared" si="5"/>
        <v>error</v>
      </c>
      <c r="H55" s="51" t="str">
        <f t="shared" si="9"/>
        <v/>
      </c>
      <c r="I55" s="78" t="str">
        <f t="shared" si="6"/>
        <v>n/a</v>
      </c>
      <c r="J55" s="11" t="e">
        <f t="shared" si="7"/>
        <v>#VALUE!</v>
      </c>
      <c r="K55" s="79" t="e">
        <f>IF('Tank Summary'!$Q$15="y",10.2, IF(E55/$D$10&lt;=1,10.2,IF(E55/$D$10&gt;1,3.58*(E55/$D$10)+6.66)))</f>
        <v>#DIV/0!</v>
      </c>
      <c r="L55" s="79" t="e">
        <f t="shared" si="8"/>
        <v>#DIV/0!</v>
      </c>
      <c r="M55" s="11" t="str">
        <f>IF(ISERROR(H23-H22),"n/a",IF(ISBLANK(E22), H22-H21,H23-H22))</f>
        <v>n/a</v>
      </c>
      <c r="N55" s="49" t="str">
        <f>IF(ISERROR(H23-H22),"n/a",IF(ISBLANK(E22), H23-H22,H22-H21))</f>
        <v>n/a</v>
      </c>
      <c r="O55" s="105"/>
    </row>
    <row r="56" spans="2:15" hidden="1" x14ac:dyDescent="0.2">
      <c r="B56" s="103">
        <f t="shared" si="3"/>
        <v>0</v>
      </c>
      <c r="C56" s="80">
        <v>4</v>
      </c>
      <c r="D56" s="77">
        <f>IF(ISBLANK(E24),E25,E24)</f>
        <v>0</v>
      </c>
      <c r="E56" s="77">
        <f>IF(ISBLANK(F24),F25,F24)</f>
        <v>0</v>
      </c>
      <c r="F56" s="34" t="str">
        <f t="shared" si="4"/>
        <v>error</v>
      </c>
      <c r="G56" s="34" t="str">
        <f t="shared" si="5"/>
        <v>error</v>
      </c>
      <c r="H56" s="51" t="str">
        <f t="shared" si="9"/>
        <v/>
      </c>
      <c r="I56" s="78" t="str">
        <f t="shared" si="6"/>
        <v>n/a</v>
      </c>
      <c r="J56" s="11" t="e">
        <f t="shared" si="7"/>
        <v>#VALUE!</v>
      </c>
      <c r="K56" s="79" t="e">
        <f>IF('Tank Summary'!$Q$15="y",10.2, IF(E56/$D$10&lt;=1,10.2,IF(E56/$D$10&gt;1,3.58*(E56/$D$10)+6.66)))</f>
        <v>#DIV/0!</v>
      </c>
      <c r="L56" s="79" t="e">
        <f t="shared" si="8"/>
        <v>#DIV/0!</v>
      </c>
      <c r="M56" s="11" t="str">
        <f>IF(ISERROR(H25-H24),"n/a",IF(ISBLANK(E24), H24-H23,H25-H24))</f>
        <v>n/a</v>
      </c>
      <c r="N56" s="49" t="str">
        <f>IF(ISERROR(H25-H24),"n/a",IF(ISBLANK(E24), H25-H24,H24-H23))</f>
        <v>n/a</v>
      </c>
      <c r="O56" s="105"/>
    </row>
    <row r="57" spans="2:15" hidden="1" x14ac:dyDescent="0.2">
      <c r="B57" s="103">
        <f t="shared" si="3"/>
        <v>0</v>
      </c>
      <c r="C57" s="80">
        <v>5</v>
      </c>
      <c r="D57" s="77">
        <f>IF(ISBLANK(E26),E27,E26)</f>
        <v>0</v>
      </c>
      <c r="E57" s="77">
        <f>IF(ISBLANK(F26),F27,F26)</f>
        <v>0</v>
      </c>
      <c r="F57" s="34" t="str">
        <f t="shared" si="4"/>
        <v>error</v>
      </c>
      <c r="G57" s="34" t="str">
        <f t="shared" si="5"/>
        <v>error</v>
      </c>
      <c r="H57" s="51" t="str">
        <f t="shared" si="9"/>
        <v/>
      </c>
      <c r="I57" s="78" t="str">
        <f t="shared" si="6"/>
        <v>n/a</v>
      </c>
      <c r="J57" s="11" t="e">
        <f t="shared" si="7"/>
        <v>#VALUE!</v>
      </c>
      <c r="K57" s="79" t="e">
        <f>IF('Tank Summary'!$Q$15="y",10.2, IF(E57/$D$10&lt;=1,10.2,IF(E57/$D$10&gt;1,3.58*(E57/$D$10)+6.66)))</f>
        <v>#DIV/0!</v>
      </c>
      <c r="L57" s="79" t="e">
        <f t="shared" si="8"/>
        <v>#DIV/0!</v>
      </c>
      <c r="M57" s="11" t="str">
        <f>IF(ISERROR(H27-H26),"n/a",IF(ISBLANK(E26), H26-H25,H27-H26))</f>
        <v>n/a</v>
      </c>
      <c r="N57" s="49" t="str">
        <f>IF(ISERROR(H27-H26),"n/a",IF(ISBLANK(E26), H27-H26,H26-H25))</f>
        <v>n/a</v>
      </c>
      <c r="O57" s="105"/>
    </row>
    <row r="58" spans="2:15" hidden="1" x14ac:dyDescent="0.2">
      <c r="B58" s="103">
        <f t="shared" si="3"/>
        <v>0</v>
      </c>
      <c r="C58" s="80">
        <v>6</v>
      </c>
      <c r="D58" s="77">
        <f>IF(ISBLANK(E28),E29,E28)</f>
        <v>0</v>
      </c>
      <c r="E58" s="77">
        <f>IF(ISBLANK(F28),F29,F28)</f>
        <v>0</v>
      </c>
      <c r="F58" s="34" t="str">
        <f t="shared" si="4"/>
        <v>error</v>
      </c>
      <c r="G58" s="34" t="str">
        <f t="shared" si="5"/>
        <v>error</v>
      </c>
      <c r="H58" s="51" t="str">
        <f t="shared" si="9"/>
        <v/>
      </c>
      <c r="I58" s="78" t="str">
        <f t="shared" si="6"/>
        <v>n/a</v>
      </c>
      <c r="J58" s="11" t="e">
        <f t="shared" si="7"/>
        <v>#VALUE!</v>
      </c>
      <c r="K58" s="79" t="e">
        <f>IF('Tank Summary'!$Q$15="y",10.2, IF(E58/$D$10&lt;=1,10.2,IF(E58/$D$10&gt;1,3.58*(E58/$D$10)+6.66)))</f>
        <v>#DIV/0!</v>
      </c>
      <c r="L58" s="79" t="e">
        <f t="shared" si="8"/>
        <v>#DIV/0!</v>
      </c>
      <c r="M58" s="11" t="str">
        <f>IF(ISERROR(H29-H28),"n/a",IF(ISBLANK(E28), H28-H27,H29-H28))</f>
        <v>n/a</v>
      </c>
      <c r="N58" s="49" t="str">
        <f>IF(ISERROR(H29-H28),"n/a",IF(ISBLANK(E28), H29-H28,H28-H27))</f>
        <v>n/a</v>
      </c>
      <c r="O58" s="105"/>
    </row>
    <row r="59" spans="2:15" hidden="1" x14ac:dyDescent="0.2">
      <c r="B59" s="103">
        <f t="shared" si="3"/>
        <v>0</v>
      </c>
      <c r="C59" s="80">
        <v>7</v>
      </c>
      <c r="D59" s="77">
        <f>IF(ISBLANK(E30),E31,E30)</f>
        <v>0</v>
      </c>
      <c r="E59" s="77">
        <f>IF(ISBLANK(F30),F31,F30)</f>
        <v>0</v>
      </c>
      <c r="F59" s="34" t="str">
        <f t="shared" si="4"/>
        <v>error</v>
      </c>
      <c r="G59" s="34" t="str">
        <f t="shared" si="5"/>
        <v>error</v>
      </c>
      <c r="H59" s="51" t="str">
        <f t="shared" si="9"/>
        <v/>
      </c>
      <c r="I59" s="78" t="str">
        <f t="shared" si="6"/>
        <v>n/a</v>
      </c>
      <c r="J59" s="11" t="e">
        <f t="shared" si="7"/>
        <v>#VALUE!</v>
      </c>
      <c r="K59" s="79" t="e">
        <f>IF('Tank Summary'!$Q$15="y",10.2, IF(E59/$D$10&lt;=1,10.2,IF(E59/$D$10&gt;1,3.58*(E59/$D$10)+6.66)))</f>
        <v>#DIV/0!</v>
      </c>
      <c r="L59" s="79" t="e">
        <f t="shared" si="8"/>
        <v>#DIV/0!</v>
      </c>
      <c r="M59" s="11" t="str">
        <f>IF(ISERROR(H31-H30),"n/a",IF(ISBLANK(E30), H30-H29,H31-H30))</f>
        <v>n/a</v>
      </c>
      <c r="N59" s="49" t="str">
        <f>IF(ISERROR(H31-H30),"n/a",IF(ISBLANK(E30), H31-H30,H30-H29))</f>
        <v>n/a</v>
      </c>
      <c r="O59" s="105"/>
    </row>
    <row r="60" spans="2:15" hidden="1" x14ac:dyDescent="0.2">
      <c r="B60" s="103">
        <f t="shared" si="3"/>
        <v>0</v>
      </c>
      <c r="C60" s="80">
        <v>8</v>
      </c>
      <c r="D60" s="77">
        <f>IF(ISBLANK(E32),E33,E32)</f>
        <v>0</v>
      </c>
      <c r="E60" s="77">
        <f>IF(ISBLANK(F32),F33,F32)</f>
        <v>0</v>
      </c>
      <c r="F60" s="34" t="str">
        <f t="shared" si="4"/>
        <v>error</v>
      </c>
      <c r="G60" s="34" t="str">
        <f t="shared" si="5"/>
        <v>error</v>
      </c>
      <c r="H60" s="51" t="str">
        <f t="shared" si="9"/>
        <v/>
      </c>
      <c r="I60" s="78" t="str">
        <f t="shared" si="6"/>
        <v>n/a</v>
      </c>
      <c r="J60" s="11" t="e">
        <f t="shared" si="7"/>
        <v>#VALUE!</v>
      </c>
      <c r="K60" s="79" t="e">
        <f>IF('Tank Summary'!$Q$15="y",10.2, IF(E60/$D$10&lt;=1,10.2,IF(E60/$D$10&gt;1,3.58*(E60/$D$10)+6.66)))</f>
        <v>#DIV/0!</v>
      </c>
      <c r="L60" s="79" t="e">
        <f t="shared" si="8"/>
        <v>#DIV/0!</v>
      </c>
      <c r="M60" s="11" t="str">
        <f>IF(ISERROR(H33-H32),"n/a",IF(ISBLANK(E32), H32-H31,H33-H32))</f>
        <v>n/a</v>
      </c>
      <c r="N60" s="49" t="str">
        <f>IF(ISERROR(H33-H32),"n/a",IF(ISBLANK(E32), H33-H32,H32-H31))</f>
        <v>n/a</v>
      </c>
      <c r="O60" s="105"/>
    </row>
    <row r="61" spans="2:15" hidden="1" x14ac:dyDescent="0.2">
      <c r="B61" s="103">
        <f t="shared" si="3"/>
        <v>0</v>
      </c>
      <c r="C61" s="80">
        <v>9</v>
      </c>
      <c r="D61" s="77">
        <f>IF(ISBLANK(E34),E35,E34)</f>
        <v>0</v>
      </c>
      <c r="E61" s="77">
        <f>IF(ISBLANK(F34),F35,F34)</f>
        <v>0</v>
      </c>
      <c r="F61" s="34" t="str">
        <f t="shared" si="4"/>
        <v>error</v>
      </c>
      <c r="G61" s="34" t="str">
        <f t="shared" si="5"/>
        <v>error</v>
      </c>
      <c r="H61" s="51" t="str">
        <f t="shared" si="9"/>
        <v/>
      </c>
      <c r="I61" s="78" t="str">
        <f t="shared" si="6"/>
        <v>n/a</v>
      </c>
      <c r="J61" s="11" t="e">
        <f t="shared" si="7"/>
        <v>#VALUE!</v>
      </c>
      <c r="K61" s="79" t="e">
        <f>IF('Tank Summary'!$Q$15="y",10.2, IF(E61/$D$10&lt;=1,10.2,IF(E61/$D$10&gt;1,3.58*(E61/$D$10)+6.66)))</f>
        <v>#DIV/0!</v>
      </c>
      <c r="L61" s="79" t="e">
        <f t="shared" si="8"/>
        <v>#DIV/0!</v>
      </c>
      <c r="M61" s="11" t="str">
        <f>IF(ISERROR(H35-H34),"n/a",IF(ISBLANK(E34), H34-H33,H35-H34))</f>
        <v>n/a</v>
      </c>
      <c r="N61" s="49" t="str">
        <f>IF(ISERROR(H35-H34),"n/a",IF(ISBLANK(E34), H35-H34,H34-H33))</f>
        <v>n/a</v>
      </c>
      <c r="O61" s="105"/>
    </row>
    <row r="62" spans="2:15" hidden="1" x14ac:dyDescent="0.2">
      <c r="B62" s="103">
        <f t="shared" si="3"/>
        <v>0</v>
      </c>
      <c r="C62" s="80">
        <v>10</v>
      </c>
      <c r="D62" s="77">
        <f>IF(ISBLANK(E36),E37,E36)</f>
        <v>0</v>
      </c>
      <c r="E62" s="77">
        <f>IF(ISBLANK(F36),F37,F36)</f>
        <v>0</v>
      </c>
      <c r="F62" s="34" t="str">
        <f t="shared" si="4"/>
        <v>error</v>
      </c>
      <c r="G62" s="34" t="str">
        <f t="shared" si="5"/>
        <v>error</v>
      </c>
      <c r="H62" s="51" t="str">
        <f t="shared" si="9"/>
        <v/>
      </c>
      <c r="I62" s="78" t="str">
        <f t="shared" si="6"/>
        <v>n/a</v>
      </c>
      <c r="J62" s="11" t="e">
        <f t="shared" si="7"/>
        <v>#VALUE!</v>
      </c>
      <c r="K62" s="79" t="e">
        <f>IF('Tank Summary'!$Q$15="y",10.2, IF(E62/$D$10&lt;=1,10.2,IF(E62/$D$10&gt;1,3.58*(E62/$D$10)+6.66)))</f>
        <v>#DIV/0!</v>
      </c>
      <c r="L62" s="79" t="e">
        <f t="shared" si="8"/>
        <v>#DIV/0!</v>
      </c>
      <c r="M62" s="11" t="str">
        <f>IF(ISERROR(H37-H36),"n/a",IF(ISBLANK(E36), H36-H35,H37-H36))</f>
        <v>n/a</v>
      </c>
      <c r="N62" s="49" t="str">
        <f>IF(ISERROR(H37-H36),"n/a",IF(ISBLANK(E36), H37-H36,H36-H35))</f>
        <v>n/a</v>
      </c>
      <c r="O62" s="105"/>
    </row>
    <row r="63" spans="2:15" hidden="1" x14ac:dyDescent="0.2">
      <c r="B63" s="103">
        <f t="shared" si="3"/>
        <v>0</v>
      </c>
      <c r="C63" s="80">
        <v>11</v>
      </c>
      <c r="D63" s="77">
        <f>IF(ISBLANK(E38),E39,E38)</f>
        <v>0</v>
      </c>
      <c r="E63" s="77">
        <f>IF(ISBLANK(F38),F39,F38)</f>
        <v>0</v>
      </c>
      <c r="F63" s="34" t="str">
        <f t="shared" si="4"/>
        <v>error</v>
      </c>
      <c r="G63" s="34" t="str">
        <f t="shared" si="5"/>
        <v>error</v>
      </c>
      <c r="H63" s="51" t="str">
        <f t="shared" si="9"/>
        <v/>
      </c>
      <c r="I63" s="78" t="str">
        <f t="shared" si="6"/>
        <v>n/a</v>
      </c>
      <c r="J63" s="11" t="e">
        <f t="shared" si="7"/>
        <v>#VALUE!</v>
      </c>
      <c r="K63" s="79" t="e">
        <f>IF('Tank Summary'!$Q$15="y",10.2, IF(E63/$D$10&lt;=1,10.2,IF(E63/$D$10&gt;1,3.58*(E63/$D$10)+6.66)))</f>
        <v>#DIV/0!</v>
      </c>
      <c r="L63" s="79" t="e">
        <f t="shared" si="8"/>
        <v>#DIV/0!</v>
      </c>
      <c r="M63" s="11" t="str">
        <f>IF(ISERROR(H39-H38),"n/a",IF(ISBLANK(E38), H38-H37,H39-H38))</f>
        <v>n/a</v>
      </c>
      <c r="N63" s="49" t="str">
        <f>IF(ISERROR(H39-H38),"n/a",IF(ISBLANK(E38), H39-H38,H38-H37))</f>
        <v>n/a</v>
      </c>
      <c r="O63" s="105"/>
    </row>
    <row r="64" spans="2:15" hidden="1" x14ac:dyDescent="0.2">
      <c r="B64" s="103">
        <f t="shared" si="3"/>
        <v>0</v>
      </c>
      <c r="C64" s="80">
        <v>12</v>
      </c>
      <c r="D64" s="77">
        <f>IF(ISBLANK(E40),E41,E40)</f>
        <v>0</v>
      </c>
      <c r="E64" s="77">
        <f>IF(ISBLANK(F40),F41,F40)</f>
        <v>0</v>
      </c>
      <c r="F64" s="34" t="str">
        <f t="shared" si="4"/>
        <v>error</v>
      </c>
      <c r="G64" s="34" t="str">
        <f t="shared" si="5"/>
        <v>error</v>
      </c>
      <c r="H64" s="51" t="str">
        <f t="shared" si="9"/>
        <v/>
      </c>
      <c r="I64" s="78" t="str">
        <f t="shared" si="6"/>
        <v>n/a</v>
      </c>
      <c r="J64" s="11" t="e">
        <f t="shared" si="7"/>
        <v>#VALUE!</v>
      </c>
      <c r="K64" s="79" t="e">
        <f>IF('Tank Summary'!$Q$15="y",10.2, IF(E64/$D$10&lt;=1,10.2,IF(E64/$D$10&gt;1,3.58*(E64/$D$10)+6.66)))</f>
        <v>#DIV/0!</v>
      </c>
      <c r="L64" s="79" t="e">
        <f t="shared" si="8"/>
        <v>#DIV/0!</v>
      </c>
      <c r="M64" s="11" t="str">
        <f>IF(ISERROR(H41-H40),"n/a",IF(ISBLANK(E40), H40-H39,H41-H40))</f>
        <v>n/a</v>
      </c>
      <c r="N64" s="49" t="str">
        <f>IF(ISERROR(H41-H40),"n/a",IF(ISBLANK(E40), H41-H40,H40-H39))</f>
        <v>n/a</v>
      </c>
      <c r="O64" s="105"/>
    </row>
    <row r="65" spans="2:15" hidden="1" x14ac:dyDescent="0.2">
      <c r="B65" s="103">
        <f t="shared" si="3"/>
        <v>0</v>
      </c>
      <c r="C65" s="80">
        <v>13</v>
      </c>
      <c r="D65" s="77">
        <f>IF(ISBLANK(E42),E43,E42)</f>
        <v>0</v>
      </c>
      <c r="E65" s="77">
        <f>IF(ISBLANK(F42),F43,F42)</f>
        <v>0</v>
      </c>
      <c r="F65" s="34" t="str">
        <f t="shared" si="4"/>
        <v>error</v>
      </c>
      <c r="G65" s="34" t="str">
        <f t="shared" si="5"/>
        <v>error</v>
      </c>
      <c r="H65" s="51" t="str">
        <f t="shared" si="9"/>
        <v/>
      </c>
      <c r="I65" s="78" t="str">
        <f t="shared" si="6"/>
        <v>n/a</v>
      </c>
      <c r="J65" s="11" t="e">
        <f t="shared" si="7"/>
        <v>#VALUE!</v>
      </c>
      <c r="K65" s="79" t="e">
        <f>IF('Tank Summary'!$Q$15="y",10.2, IF(E65/$D$10&lt;=1,10.2,IF(E65/$D$10&gt;1,3.58*(E65/$D$10)+6.66)))</f>
        <v>#DIV/0!</v>
      </c>
      <c r="L65" s="79" t="e">
        <f t="shared" si="8"/>
        <v>#DIV/0!</v>
      </c>
      <c r="M65" s="11" t="str">
        <f>IF(ISERROR(H43-H42),"n/a",IF(ISBLANK(E42), H42-H41,H43-H42))</f>
        <v>n/a</v>
      </c>
      <c r="N65" s="49" t="str">
        <f>IF(ISERROR(H43-H42),"n/a",IF(ISBLANK(E42), H43-H42,H42-H41))</f>
        <v>n/a</v>
      </c>
      <c r="O65" s="105"/>
    </row>
    <row r="66" spans="2:15" hidden="1" x14ac:dyDescent="0.2">
      <c r="B66" s="103">
        <f t="shared" si="3"/>
        <v>0</v>
      </c>
      <c r="C66" s="80">
        <v>14</v>
      </c>
      <c r="D66" s="77">
        <f>IF(ISBLANK(E44),E45,E44)</f>
        <v>0</v>
      </c>
      <c r="E66" s="77">
        <f>IF(ISBLANK(F44),F45,F44)</f>
        <v>0</v>
      </c>
      <c r="F66" s="34" t="str">
        <f t="shared" si="4"/>
        <v>error</v>
      </c>
      <c r="G66" s="34" t="str">
        <f t="shared" si="5"/>
        <v>error</v>
      </c>
      <c r="H66" s="51" t="str">
        <f t="shared" si="9"/>
        <v/>
      </c>
      <c r="I66" s="78" t="str">
        <f t="shared" si="6"/>
        <v>n/a</v>
      </c>
      <c r="J66" s="11" t="e">
        <f t="shared" si="7"/>
        <v>#VALUE!</v>
      </c>
      <c r="K66" s="79" t="e">
        <f>IF('Tank Summary'!$Q$15="y",10.2, IF(E66/$D$10&lt;=1,10.2,IF(E66/$D$10&gt;1,3.58*(E66/$D$10)+6.66)))</f>
        <v>#DIV/0!</v>
      </c>
      <c r="L66" s="79" t="e">
        <f t="shared" si="8"/>
        <v>#DIV/0!</v>
      </c>
      <c r="M66" s="11" t="str">
        <f>IF(ISERROR(H45-H44),"n/a",IF(ISBLANK(E44), H44-H43,H45-H44))</f>
        <v>n/a</v>
      </c>
      <c r="N66" s="49" t="str">
        <f>IF(ISERROR(H45-H44),"n/a",IF(ISBLANK(E44), H45-H44,H44-H43))</f>
        <v>n/a</v>
      </c>
      <c r="O66" s="105"/>
    </row>
    <row r="67" spans="2:15" ht="13.5" hidden="1" thickBot="1" x14ac:dyDescent="0.25">
      <c r="B67" s="103">
        <f t="shared" si="3"/>
        <v>0</v>
      </c>
      <c r="C67" s="81">
        <v>15</v>
      </c>
      <c r="D67" s="82">
        <f>IF(ISBLANK(E46),E47,E46)</f>
        <v>0</v>
      </c>
      <c r="E67" s="82">
        <f>IF(ISBLANK(F46),F47,F46)</f>
        <v>0</v>
      </c>
      <c r="F67" s="140" t="str">
        <f t="shared" si="4"/>
        <v>error</v>
      </c>
      <c r="G67" s="140" t="str">
        <f t="shared" si="5"/>
        <v>error</v>
      </c>
      <c r="H67" s="141" t="str">
        <f t="shared" si="9"/>
        <v/>
      </c>
      <c r="I67" s="142" t="str">
        <f t="shared" si="6"/>
        <v>n/a</v>
      </c>
      <c r="J67" s="50" t="e">
        <f t="shared" si="7"/>
        <v>#VALUE!</v>
      </c>
      <c r="K67" s="50" t="e">
        <f>IF('Tank Summary'!$Q$15="y",10.2, IF(E67/$D$10&lt;=1,10.2,IF(E67/$D$10&gt;1,3.58*(E67/$D$10)+6.66)))</f>
        <v>#DIV/0!</v>
      </c>
      <c r="L67" s="50" t="e">
        <f t="shared" si="8"/>
        <v>#DIV/0!</v>
      </c>
      <c r="M67" s="50" t="str">
        <f>IF(ISERROR(H47-H46),"n/a",IF(ISBLANK(E46), H46-H45,H47-H46))</f>
        <v>n/a</v>
      </c>
      <c r="N67" s="68" t="str">
        <f>IF(ISERROR(H47-H46),"n/a",IF(ISBLANK(E46), H47-H46,H46-H45))</f>
        <v>n/a</v>
      </c>
      <c r="O67" s="105"/>
    </row>
    <row r="68" spans="2:15" hidden="1" x14ac:dyDescent="0.2">
      <c r="B68" s="103"/>
      <c r="C68" s="8"/>
      <c r="D68" s="25"/>
      <c r="E68" s="26"/>
      <c r="F68" s="26"/>
      <c r="G68" s="26"/>
      <c r="H68" s="26"/>
      <c r="I68" s="27"/>
      <c r="J68" s="27"/>
      <c r="K68" s="27"/>
      <c r="L68" s="8"/>
      <c r="M68" s="109"/>
      <c r="N68" s="8"/>
      <c r="O68" s="105"/>
    </row>
    <row r="69" spans="2:15" ht="13.5" thickBot="1" x14ac:dyDescent="0.25">
      <c r="B69" s="103"/>
      <c r="C69" s="110" t="s">
        <v>44</v>
      </c>
      <c r="D69" s="8"/>
      <c r="E69" s="8"/>
      <c r="F69" s="8"/>
      <c r="G69" s="27"/>
      <c r="H69" s="443" t="s">
        <v>19</v>
      </c>
      <c r="I69" s="443"/>
      <c r="J69" s="443"/>
      <c r="K69" s="443"/>
      <c r="L69" s="111"/>
      <c r="M69" s="109"/>
      <c r="N69" s="27"/>
      <c r="O69" s="105"/>
    </row>
    <row r="70" spans="2:15" x14ac:dyDescent="0.2">
      <c r="B70" s="103"/>
      <c r="C70" s="60" t="s">
        <v>43</v>
      </c>
      <c r="D70" s="61"/>
      <c r="E70" s="64" t="e">
        <f>SUM(G53:G67)/COUNTIF(G53:G67,"&gt;0")</f>
        <v>#DIV/0!</v>
      </c>
      <c r="F70" s="54" t="s">
        <v>4</v>
      </c>
      <c r="G70" s="27"/>
      <c r="H70" s="7" t="str">
        <f>IF(D8="y","Avg Vol at Start of Fill","Avg Min Water Level")</f>
        <v>Avg Min Water Level</v>
      </c>
      <c r="I70" s="40"/>
      <c r="J70" s="37" t="e">
        <f>IF('Tank Summary'!Q15="n","",SUM(D53:D67)/SUM(B53:B67))</f>
        <v>#DIV/0!</v>
      </c>
      <c r="K70" s="15" t="str">
        <f>IF(D8="y","gal","ft")</f>
        <v>ft</v>
      </c>
      <c r="M70" s="8"/>
      <c r="N70" s="109"/>
      <c r="O70" s="105"/>
    </row>
    <row r="71" spans="2:15" x14ac:dyDescent="0.2">
      <c r="B71" s="103"/>
      <c r="C71" s="4" t="s">
        <v>47</v>
      </c>
      <c r="D71" s="58"/>
      <c r="E71" s="2" t="e">
        <f>SUM(H53:H67)/COUNTIF(H53:H67,"&gt;0")</f>
        <v>#DIV/0!</v>
      </c>
      <c r="F71" s="5" t="s">
        <v>5</v>
      </c>
      <c r="G71" s="8"/>
      <c r="H71" s="41" t="s">
        <v>63</v>
      </c>
      <c r="I71" s="39"/>
      <c r="J71" s="38" t="e">
        <f>IF('Tank Summary'!Q15="n","",AVERAGE(J53:J67))</f>
        <v>#VALUE!</v>
      </c>
      <c r="K71" s="16"/>
      <c r="M71" s="8"/>
      <c r="N71" s="8"/>
      <c r="O71" s="105"/>
    </row>
    <row r="72" spans="2:15" x14ac:dyDescent="0.2">
      <c r="B72" s="103"/>
      <c r="C72" s="41" t="s">
        <v>40</v>
      </c>
      <c r="D72" s="66"/>
      <c r="E72" s="143" t="e">
        <f>AVERAGE(M53:M67)</f>
        <v>#DIV/0!</v>
      </c>
      <c r="F72" s="16" t="s">
        <v>2</v>
      </c>
      <c r="G72" s="8"/>
      <c r="H72" s="41" t="s">
        <v>64</v>
      </c>
      <c r="I72" s="39"/>
      <c r="J72" s="38" t="e">
        <f>IF('Tank Summary'!Q15="n","",AVERAGE(L53:L67))</f>
        <v>#DIV/0!</v>
      </c>
      <c r="K72" s="16"/>
      <c r="M72" s="8"/>
      <c r="N72" s="8"/>
      <c r="O72" s="105"/>
    </row>
    <row r="73" spans="2:15" x14ac:dyDescent="0.2">
      <c r="B73" s="103"/>
      <c r="C73" s="41" t="s">
        <v>41</v>
      </c>
      <c r="D73" s="66"/>
      <c r="E73" s="144" t="e">
        <f>AVERAGE(N53:N67)</f>
        <v>#DIV/0!</v>
      </c>
      <c r="F73" s="65" t="s">
        <v>2</v>
      </c>
      <c r="G73" s="8"/>
      <c r="H73" s="41" t="str">
        <f>IF(D8="y","Avg Measured Vol Change","Avg Measured Water Level Change")</f>
        <v>Avg Measured Water Level Change</v>
      </c>
      <c r="I73" s="39"/>
      <c r="J73" s="86" t="e">
        <f>IF('Tank Summary'!Q15="n","",(SUM(E53:E67)/SUM(B53:B67))-J70)</f>
        <v>#DIV/0!</v>
      </c>
      <c r="K73" s="16" t="str">
        <f>IF(D8="y","gal","ft")</f>
        <v>ft</v>
      </c>
      <c r="M73" s="8"/>
      <c r="N73" s="8"/>
      <c r="O73" s="105"/>
    </row>
    <row r="74" spans="2:15" ht="24.75" customHeight="1" x14ac:dyDescent="0.2">
      <c r="B74" s="103"/>
      <c r="C74" s="41" t="s">
        <v>30</v>
      </c>
      <c r="D74" s="66"/>
      <c r="E74" s="36" t="e">
        <f>E70*10^6/(E72*24*60)</f>
        <v>#DIV/0!</v>
      </c>
      <c r="F74" s="43" t="s">
        <v>28</v>
      </c>
      <c r="G74" s="8"/>
      <c r="H74" s="431" t="str">
        <f>IF(D8="y","Desired Vol Change Needed for Good Mixing","Desired Water Level Change Needed for Good Mixing")</f>
        <v>Desired Water Level Change Needed for Good Mixing</v>
      </c>
      <c r="I74" s="432"/>
      <c r="J74" s="47" t="e">
        <f>IF('Tank Summary'!Q15="n","",$J$70*J72)</f>
        <v>#DIV/0!</v>
      </c>
      <c r="K74" s="45" t="str">
        <f>IF(D8="y","gal","ft")</f>
        <v>ft</v>
      </c>
      <c r="M74" s="8"/>
      <c r="N74" s="8"/>
      <c r="O74" s="105"/>
    </row>
    <row r="75" spans="2:15" ht="24.75" customHeight="1" x14ac:dyDescent="0.2">
      <c r="B75" s="103"/>
      <c r="C75" s="41" t="s">
        <v>31</v>
      </c>
      <c r="D75" s="66"/>
      <c r="E75" s="36" t="e">
        <f>E71*10^6/(E73*24*60)</f>
        <v>#DIV/0!</v>
      </c>
      <c r="F75" s="43" t="s">
        <v>28</v>
      </c>
      <c r="G75" s="8"/>
      <c r="H75" s="431" t="s">
        <v>65</v>
      </c>
      <c r="I75" s="437"/>
      <c r="J75" s="176" t="e">
        <f>IF('Tank Summary'!Q15="n","",J73/J74)</f>
        <v>#DIV/0!</v>
      </c>
      <c r="K75" s="5"/>
      <c r="M75" s="8"/>
      <c r="N75" s="8"/>
      <c r="O75" s="105"/>
    </row>
    <row r="76" spans="2:15" ht="27" customHeight="1" thickBot="1" x14ac:dyDescent="0.25">
      <c r="B76" s="103"/>
      <c r="C76" s="62" t="s">
        <v>42</v>
      </c>
      <c r="D76" s="63"/>
      <c r="E76" s="67" t="e">
        <f>E72+E73</f>
        <v>#DIV/0!</v>
      </c>
      <c r="F76" s="24" t="s">
        <v>2</v>
      </c>
      <c r="G76" s="8"/>
      <c r="H76" s="433" t="s">
        <v>62</v>
      </c>
      <c r="I76" s="434"/>
      <c r="J76" s="46" t="e">
        <f>IF('Tank Summary'!Q15="n","",(((((SUM(F53:F67)/SUM(B53:B67))*10^6/7.48)^(1/3))*$J$71)/9)*12)</f>
        <v>#DIV/0!</v>
      </c>
      <c r="K76" s="3" t="s">
        <v>35</v>
      </c>
      <c r="L76" s="8"/>
      <c r="M76" s="8"/>
      <c r="N76" s="8"/>
      <c r="O76" s="105"/>
    </row>
    <row r="77" spans="2:15" ht="14.25" customHeight="1" x14ac:dyDescent="0.2">
      <c r="B77" s="103"/>
      <c r="C77" s="41" t="s">
        <v>61</v>
      </c>
      <c r="D77" s="59"/>
      <c r="E77" s="38" t="e">
        <f>E70/E76</f>
        <v>#DIV/0!</v>
      </c>
      <c r="F77" s="5" t="s">
        <v>3</v>
      </c>
      <c r="G77" s="8"/>
      <c r="H77" s="8"/>
      <c r="I77" s="436" t="e">
        <f>IF('Tank Summary'!Q15="n","",IF(J73&lt;J74,"Mixing is at an undesirable level, use Mixing Analysis (Section II) to determine strategies that will increase mixing.","Mixing is at a desired level."))</f>
        <v>#DIV/0!</v>
      </c>
      <c r="J77" s="436"/>
      <c r="K77" s="436"/>
      <c r="L77" s="436"/>
      <c r="M77" s="8"/>
      <c r="N77" s="8"/>
      <c r="O77" s="105"/>
    </row>
    <row r="78" spans="2:15" x14ac:dyDescent="0.2">
      <c r="B78" s="103"/>
      <c r="C78" s="41" t="s">
        <v>48</v>
      </c>
      <c r="D78" s="59"/>
      <c r="E78" s="38" t="e">
        <f>AVERAGE(I53:I67)</f>
        <v>#DIV/0!</v>
      </c>
      <c r="F78" s="5" t="s">
        <v>5</v>
      </c>
      <c r="G78" s="8"/>
      <c r="H78" s="8"/>
      <c r="I78" s="436"/>
      <c r="J78" s="436"/>
      <c r="K78" s="436"/>
      <c r="L78" s="436"/>
      <c r="M78" s="8"/>
      <c r="N78" s="8"/>
      <c r="O78" s="105"/>
    </row>
    <row r="79" spans="2:15" ht="13.5" thickBot="1" x14ac:dyDescent="0.25">
      <c r="B79" s="103"/>
      <c r="C79" s="44" t="s">
        <v>9</v>
      </c>
      <c r="D79" s="42"/>
      <c r="E79" s="57" t="e">
        <f>E78/E77</f>
        <v>#DIV/0!</v>
      </c>
      <c r="F79" s="6" t="s">
        <v>2</v>
      </c>
      <c r="G79" s="8"/>
      <c r="H79" s="8"/>
      <c r="I79" s="436"/>
      <c r="J79" s="436"/>
      <c r="K79" s="436"/>
      <c r="L79" s="436"/>
      <c r="M79" s="8"/>
      <c r="N79" s="8"/>
      <c r="O79" s="105"/>
    </row>
    <row r="80" spans="2:15" ht="12.75" customHeight="1" x14ac:dyDescent="0.2">
      <c r="B80" s="103"/>
      <c r="C80" s="104"/>
      <c r="D80" s="427" t="e">
        <f>IF(E79&gt;5, "Turnover time is at an undesirable level, use Turnover Time Analysis (Step 2) to determine operational strategies that will reduce turnover time.","Turnover Time is at a desired level.")</f>
        <v>#DIV/0!</v>
      </c>
      <c r="E80" s="427"/>
      <c r="F80" s="427"/>
      <c r="G80" s="8"/>
      <c r="H80" s="137"/>
      <c r="I80" s="436"/>
      <c r="J80" s="436"/>
      <c r="K80" s="436"/>
      <c r="L80" s="436"/>
      <c r="M80" s="8"/>
      <c r="N80" s="8"/>
      <c r="O80" s="105"/>
    </row>
    <row r="81" spans="2:15" ht="11.25" customHeight="1" x14ac:dyDescent="0.2">
      <c r="B81" s="103"/>
      <c r="C81" s="8"/>
      <c r="D81" s="428"/>
      <c r="E81" s="428"/>
      <c r="F81" s="428"/>
      <c r="G81" s="8"/>
      <c r="H81" s="137"/>
      <c r="I81" s="85"/>
      <c r="J81" s="85"/>
      <c r="K81" s="85"/>
      <c r="L81" s="85"/>
      <c r="M81" s="8"/>
      <c r="N81" s="8"/>
      <c r="O81" s="105"/>
    </row>
    <row r="82" spans="2:15" ht="12.75" customHeight="1" x14ac:dyDescent="0.2">
      <c r="B82" s="103"/>
      <c r="C82" s="8"/>
      <c r="D82" s="428"/>
      <c r="E82" s="428"/>
      <c r="F82" s="428"/>
      <c r="G82" s="8"/>
      <c r="H82" s="8"/>
      <c r="I82" s="8"/>
      <c r="J82" s="31"/>
      <c r="K82" s="31"/>
      <c r="L82" s="8"/>
      <c r="M82" s="8"/>
      <c r="N82" s="8"/>
      <c r="O82" s="105"/>
    </row>
    <row r="83" spans="2:15" ht="16.5" customHeight="1" x14ac:dyDescent="0.2">
      <c r="B83" s="103"/>
      <c r="C83" s="8"/>
      <c r="D83" s="428"/>
      <c r="E83" s="428"/>
      <c r="F83" s="428"/>
      <c r="G83" s="8"/>
      <c r="H83" s="8"/>
      <c r="I83" s="8"/>
      <c r="J83" s="31"/>
      <c r="K83" s="31"/>
      <c r="L83" s="8"/>
      <c r="M83" s="8"/>
      <c r="N83" s="8"/>
      <c r="O83" s="105"/>
    </row>
    <row r="84" spans="2:15" ht="13.5" thickBot="1" x14ac:dyDescent="0.25">
      <c r="B84" s="112"/>
      <c r="C84" s="113"/>
      <c r="D84" s="113"/>
      <c r="E84" s="113"/>
      <c r="F84" s="113"/>
      <c r="G84" s="113"/>
      <c r="H84" s="113"/>
      <c r="I84" s="113"/>
      <c r="J84" s="113"/>
      <c r="K84" s="113"/>
      <c r="L84" s="113"/>
      <c r="M84" s="113"/>
      <c r="N84" s="113"/>
      <c r="O84" s="114"/>
    </row>
    <row r="85" spans="2:15" ht="18.75" thickBot="1" x14ac:dyDescent="0.3">
      <c r="B85" s="127" t="s">
        <v>241</v>
      </c>
      <c r="C85" s="122"/>
      <c r="D85" s="122"/>
      <c r="E85" s="131"/>
      <c r="F85" s="132"/>
      <c r="G85" s="122"/>
      <c r="H85" s="122"/>
      <c r="I85" s="122"/>
      <c r="J85" s="122"/>
      <c r="K85" s="122"/>
      <c r="L85" s="129"/>
      <c r="M85" s="129"/>
      <c r="N85" s="129"/>
      <c r="O85" s="130"/>
    </row>
    <row r="86" spans="2:15" x14ac:dyDescent="0.2">
      <c r="B86" s="103"/>
      <c r="C86" s="31"/>
      <c r="D86" s="31"/>
      <c r="E86" s="31"/>
      <c r="F86" s="31"/>
      <c r="G86" s="31"/>
      <c r="H86" s="31"/>
      <c r="I86" s="31"/>
      <c r="J86" s="31"/>
      <c r="K86" s="31"/>
      <c r="L86" s="8"/>
      <c r="M86" s="8"/>
      <c r="N86" s="8"/>
      <c r="O86" s="105"/>
    </row>
    <row r="87" spans="2:15" x14ac:dyDescent="0.2">
      <c r="B87" s="103"/>
      <c r="C87" s="106" t="s">
        <v>78</v>
      </c>
      <c r="D87" s="31"/>
      <c r="E87" s="31"/>
      <c r="F87" s="31"/>
      <c r="G87" s="31"/>
      <c r="H87" s="31"/>
      <c r="I87" s="31"/>
      <c r="J87" s="31"/>
      <c r="K87" s="31"/>
      <c r="L87" s="8"/>
      <c r="M87" s="8"/>
      <c r="N87" s="8"/>
      <c r="O87" s="105"/>
    </row>
    <row r="88" spans="2:15" x14ac:dyDescent="0.2">
      <c r="B88" s="103"/>
      <c r="C88" s="106" t="s">
        <v>79</v>
      </c>
      <c r="D88" s="31"/>
      <c r="E88" s="31"/>
      <c r="F88" s="31"/>
      <c r="G88" s="31"/>
      <c r="H88" s="31"/>
      <c r="I88" s="31"/>
      <c r="J88" s="31"/>
      <c r="K88" s="31"/>
      <c r="L88" s="8"/>
      <c r="M88" s="8"/>
      <c r="N88" s="8"/>
      <c r="O88" s="105"/>
    </row>
    <row r="89" spans="2:15" x14ac:dyDescent="0.2">
      <c r="B89" s="103"/>
      <c r="C89" s="106"/>
      <c r="D89" s="31"/>
      <c r="E89" s="31"/>
      <c r="F89" s="31"/>
      <c r="G89" s="31"/>
      <c r="H89" s="31"/>
      <c r="I89" s="31"/>
      <c r="J89" s="31"/>
      <c r="K89" s="31"/>
      <c r="L89" s="8"/>
      <c r="M89" s="8"/>
      <c r="N89" s="8"/>
      <c r="O89" s="105"/>
    </row>
    <row r="90" spans="2:15" x14ac:dyDescent="0.2">
      <c r="B90" s="103"/>
      <c r="C90" s="106" t="s">
        <v>91</v>
      </c>
      <c r="D90" s="31"/>
      <c r="E90" s="31"/>
      <c r="F90" s="31"/>
      <c r="G90" s="31"/>
      <c r="H90" s="31"/>
      <c r="I90" s="31"/>
      <c r="J90" s="31"/>
      <c r="K90" s="31"/>
      <c r="L90" s="8"/>
      <c r="M90" s="8"/>
      <c r="N90" s="8"/>
      <c r="O90" s="105"/>
    </row>
    <row r="91" spans="2:15" x14ac:dyDescent="0.2">
      <c r="B91" s="103"/>
      <c r="C91" s="149" t="s">
        <v>93</v>
      </c>
      <c r="D91" s="31"/>
      <c r="E91" s="31"/>
      <c r="F91" s="31"/>
      <c r="G91" s="31"/>
      <c r="H91" s="31"/>
      <c r="I91" s="31"/>
      <c r="J91" s="31"/>
      <c r="K91" s="31"/>
      <c r="L91" s="8"/>
      <c r="M91" s="8"/>
      <c r="N91" s="8"/>
      <c r="O91" s="105"/>
    </row>
    <row r="92" spans="2:15" x14ac:dyDescent="0.2">
      <c r="B92" s="103"/>
      <c r="C92" s="106"/>
      <c r="D92" s="31"/>
      <c r="E92" s="31"/>
      <c r="F92" s="31"/>
      <c r="G92" s="31"/>
      <c r="H92" s="31"/>
      <c r="I92" s="31"/>
      <c r="J92" s="31"/>
      <c r="K92" s="31"/>
      <c r="L92" s="8"/>
      <c r="M92" s="8"/>
      <c r="N92" s="8"/>
      <c r="O92" s="105"/>
    </row>
    <row r="93" spans="2:15" x14ac:dyDescent="0.2">
      <c r="B93" s="103"/>
      <c r="C93" s="31"/>
      <c r="D93" s="147" t="s">
        <v>29</v>
      </c>
      <c r="E93" s="84" t="s">
        <v>49</v>
      </c>
      <c r="F93" s="84" t="s">
        <v>50</v>
      </c>
      <c r="G93" s="84" t="s">
        <v>51</v>
      </c>
      <c r="H93" s="84" t="s">
        <v>52</v>
      </c>
      <c r="I93" s="84" t="s">
        <v>53</v>
      </c>
      <c r="J93" s="31"/>
      <c r="K93" s="31"/>
      <c r="L93" s="8"/>
      <c r="M93" s="8"/>
      <c r="N93" s="8"/>
      <c r="O93" s="105"/>
    </row>
    <row r="94" spans="2:15" x14ac:dyDescent="0.2">
      <c r="B94" s="103"/>
      <c r="C94" s="133" t="str">
        <f>IF(OR($D$7="c",D7="h"), "Tank diameter", IF($D$7="r","Longest Sidewall Length",""))</f>
        <v/>
      </c>
      <c r="D94" s="33">
        <f>'Tank#6'!D10</f>
        <v>0</v>
      </c>
      <c r="E94" s="69">
        <f>$D$94</f>
        <v>0</v>
      </c>
      <c r="F94" s="69">
        <f>$D$94</f>
        <v>0</v>
      </c>
      <c r="G94" s="69">
        <f>$D$94</f>
        <v>0</v>
      </c>
      <c r="H94" s="69">
        <f>$D$94</f>
        <v>0</v>
      </c>
      <c r="I94" s="69">
        <f>$D$94</f>
        <v>0</v>
      </c>
      <c r="J94" s="106" t="str">
        <f>IF(D8="y","","ft")</f>
        <v>ft</v>
      </c>
      <c r="K94" s="106"/>
      <c r="L94" s="8"/>
      <c r="M94" s="8"/>
      <c r="N94" s="8"/>
      <c r="O94" s="105"/>
    </row>
    <row r="95" spans="2:15" x14ac:dyDescent="0.2">
      <c r="B95" s="103"/>
      <c r="C95" s="106" t="str">
        <f>IF(OR($D$7="c",D7="h"),"",IF($D$7="r","Shortest Sidewall Length",""))</f>
        <v/>
      </c>
      <c r="D95" s="35">
        <f>'Tank#6'!D11</f>
        <v>0</v>
      </c>
      <c r="E95" s="69">
        <f>$D$95</f>
        <v>0</v>
      </c>
      <c r="F95" s="69">
        <f>$D$95</f>
        <v>0</v>
      </c>
      <c r="G95" s="69">
        <f>$D$95</f>
        <v>0</v>
      </c>
      <c r="H95" s="69">
        <f>$D$95</f>
        <v>0</v>
      </c>
      <c r="I95" s="69">
        <f>$D$95</f>
        <v>0</v>
      </c>
      <c r="J95" s="106" t="str">
        <f>IF(D8="y","","ft")</f>
        <v>ft</v>
      </c>
      <c r="K95" s="106"/>
      <c r="L95" s="8"/>
      <c r="M95" s="8"/>
      <c r="N95" s="8"/>
      <c r="O95" s="105"/>
    </row>
    <row r="96" spans="2:15" x14ac:dyDescent="0.2">
      <c r="B96" s="103"/>
      <c r="C96" s="178" t="s">
        <v>34</v>
      </c>
      <c r="D96" s="135">
        <f>'Tank#6'!D13</f>
        <v>0</v>
      </c>
      <c r="E96" s="139"/>
      <c r="F96" s="139"/>
      <c r="G96" s="139"/>
      <c r="H96" s="139"/>
      <c r="I96" s="139"/>
      <c r="J96" s="106" t="s">
        <v>1</v>
      </c>
      <c r="K96" s="106"/>
      <c r="L96" s="8"/>
      <c r="M96" s="8"/>
      <c r="N96" s="8"/>
      <c r="O96" s="105"/>
    </row>
    <row r="97" spans="2:15" x14ac:dyDescent="0.2">
      <c r="B97" s="103"/>
      <c r="C97" s="178" t="str">
        <f>IF(D8="y","Fraction Full (Max Level)","High/Max Level")</f>
        <v>High/Max Level</v>
      </c>
      <c r="D97" s="83" t="b">
        <f>IF(OR($D$7="c",$D$7="r",$D$7="h"),(SUM(E53:E67)/COUNTIF(E53:E67,"&gt;0")),IF($D$8="y",(SUM(E53:E67)/COUNTIF(E53:E67,"&gt;0"))/($D$6*10^6)))</f>
        <v>0</v>
      </c>
      <c r="E97" s="139"/>
      <c r="F97" s="139"/>
      <c r="G97" s="139"/>
      <c r="H97" s="139"/>
      <c r="I97" s="139"/>
      <c r="J97" s="106" t="str">
        <f>IF(D8="y","","ft")</f>
        <v>ft</v>
      </c>
      <c r="K97" s="106"/>
      <c r="L97" s="8"/>
      <c r="M97" s="8"/>
      <c r="N97" s="8"/>
      <c r="O97" s="105"/>
    </row>
    <row r="98" spans="2:15" x14ac:dyDescent="0.2">
      <c r="B98" s="103"/>
      <c r="C98" s="178" t="str">
        <f>IF(D8="y","Fraction Full (Min Level)","Low/Min Level")</f>
        <v>Low/Min Level</v>
      </c>
      <c r="D98" s="83" t="b">
        <f>IF(OR($D$7="c",$D$7="r",$D$7="s",$D$7="h"),(SUM(D53:D67)/COUNTIF(D53:D67,"&gt;0")),IF($D$8="y",(SUM(D53:D67)/COUNTIF(D53:D67,"&gt;0"))/($D$6*10^6)))</f>
        <v>0</v>
      </c>
      <c r="E98" s="139"/>
      <c r="F98" s="139"/>
      <c r="G98" s="139"/>
      <c r="H98" s="139"/>
      <c r="I98" s="139"/>
      <c r="J98" s="106" t="str">
        <f>IF(D9="y","","ft")</f>
        <v>ft</v>
      </c>
      <c r="K98" s="106"/>
      <c r="L98" s="8"/>
      <c r="M98" s="8"/>
      <c r="N98" s="8"/>
      <c r="O98" s="105"/>
    </row>
    <row r="99" spans="2:15" ht="15.75" x14ac:dyDescent="0.25">
      <c r="B99" s="103"/>
      <c r="C99" s="136" t="str">
        <f>IF(OR(D7="c", D7="r",D7="h"),"H/D ratio","")</f>
        <v/>
      </c>
      <c r="D99" s="135" t="str">
        <f t="shared" ref="D99:I99" si="10">IF(OR($D$7="c", $D$7="r",$D$7="h"),D97/D94,"")</f>
        <v/>
      </c>
      <c r="E99" s="135" t="str">
        <f t="shared" si="10"/>
        <v/>
      </c>
      <c r="F99" s="135" t="str">
        <f t="shared" si="10"/>
        <v/>
      </c>
      <c r="G99" s="135" t="str">
        <f t="shared" si="10"/>
        <v/>
      </c>
      <c r="H99" s="135" t="str">
        <f t="shared" si="10"/>
        <v/>
      </c>
      <c r="I99" s="135" t="str">
        <f t="shared" si="10"/>
        <v/>
      </c>
      <c r="J99" s="148"/>
      <c r="K99" s="164"/>
      <c r="L99" s="8"/>
      <c r="M99" s="8"/>
      <c r="N99" s="8"/>
      <c r="O99" s="105"/>
    </row>
    <row r="100" spans="2:15" x14ac:dyDescent="0.2">
      <c r="B100" s="103"/>
      <c r="C100" s="134" t="str">
        <f>IF(D8="y","Actual Vol Change","Actual Level Change")</f>
        <v>Actual Level Change</v>
      </c>
      <c r="D100" s="135" t="e">
        <f>'Tank#6'!J73</f>
        <v>#DIV/0!</v>
      </c>
      <c r="E100" s="83" t="str">
        <f>IF(OR($D$7="c",$D$7="h",$D$7="r"),E97-E98,IF($D$8="y",($D$6*10^6)*(E97-E98),""))</f>
        <v/>
      </c>
      <c r="F100" s="83" t="str">
        <f>IF(OR($D$7="c",$D$7="h",$D$7="r"),F97-F98,IF($D$8="y",($D$6*10^6)*(F97-F98),""))</f>
        <v/>
      </c>
      <c r="G100" s="83" t="str">
        <f>IF(OR($D$7="c",$D$7="h",$D$7="r"),G97-G98,IF($D$8="y",($D$6*10^6)*(G97-G98),""))</f>
        <v/>
      </c>
      <c r="H100" s="83" t="str">
        <f>IF(OR($D$7="c",$D$7="h",$D$7="r"),H97-H98,IF($D$8="y",($D$6*10^6)*(H97-H98),""))</f>
        <v/>
      </c>
      <c r="I100" s="83" t="str">
        <f>IF(OR($D$7="c",$D$7="h",$D$7="r"),I97-I98,IF($D$8="y",($D$6*10^6)*(I97-I98),""))</f>
        <v/>
      </c>
      <c r="J100" s="106" t="str">
        <f>IF(OR(D7="c",D7="r"),"ft",IF(AND(D7="n",D8="y"),"gal",""))</f>
        <v/>
      </c>
      <c r="K100" s="106"/>
      <c r="L100" s="8"/>
      <c r="M100" s="8"/>
      <c r="N100" s="8"/>
      <c r="O100" s="105"/>
    </row>
    <row r="101" spans="2:15" ht="25.5" x14ac:dyDescent="0.2">
      <c r="B101" s="103"/>
      <c r="C101" s="134" t="s">
        <v>112</v>
      </c>
      <c r="D101" s="135" t="e">
        <f>IF('Tank Summary'!$Q$15="y",10.2, IF(D97/$D$10&lt;=1,10.2,IF(D97/$D$10&gt;1,3.58*(D97/$D$10)+6.66)))</f>
        <v>#DIV/0!</v>
      </c>
      <c r="E101" s="135" t="e">
        <f>IF('Tank Summary'!$Q$15="y",10.2, IF(E97/$D$10&lt;=1,10.2,IF(E97/$D$10&gt;1,3.58*(E97/$D$10)+6.66)))</f>
        <v>#DIV/0!</v>
      </c>
      <c r="F101" s="135" t="e">
        <f>IF('Tank Summary'!$Q$15="y",10.2, IF(F97/$D$10&lt;=1,10.2,IF(F97/$D$10&gt;1,3.58*(F97/$D$10)+6.66)))</f>
        <v>#DIV/0!</v>
      </c>
      <c r="G101" s="135" t="e">
        <f>IF('Tank Summary'!$Q$15="y",10.2, IF(G97/$D$10&lt;=1,10.2,IF(G97/$D$10&gt;1,3.58*(G97/$D$10)+6.66)))</f>
        <v>#DIV/0!</v>
      </c>
      <c r="H101" s="135" t="e">
        <f>IF('Tank Summary'!$Q$15="y",10.2, IF(H97/$D$10&lt;=1,10.2,IF(H97/$D$10&gt;1,3.58*(H97/$D$10)+6.66)))</f>
        <v>#DIV/0!</v>
      </c>
      <c r="I101" s="135" t="e">
        <f>IF('Tank Summary'!$Q$15="y",10.2, IF(I97/$D$10&lt;=1,10.2,IF(I97/$D$10&gt;1,3.58*(I97/$D$10)+6.66)))</f>
        <v>#DIV/0!</v>
      </c>
      <c r="J101" s="106"/>
      <c r="K101" s="106"/>
      <c r="L101" s="8"/>
      <c r="M101" s="8"/>
      <c r="N101" s="8"/>
      <c r="O101" s="105"/>
    </row>
    <row r="102" spans="2:15" ht="25.5" x14ac:dyDescent="0.2">
      <c r="B102" s="103"/>
      <c r="C102" s="134" t="str">
        <f>IF(D8="y","Desired Vol Change Needed for Good Mixing","Desired Level Change Needed for Good Mixing")</f>
        <v>Desired Level Change Needed for Good Mixing</v>
      </c>
      <c r="D102" s="135" t="e">
        <f>'Tank#6'!J74</f>
        <v>#DIV/0!</v>
      </c>
      <c r="E102" s="83" t="str">
        <f>IF(OR($D$7="c",$D$7="h"),(((E101/1.13)*E96)/((E98*PI()*(E94/2)^2)^(1/3)))*E98,IF($D$7="r",(((E101/1.13)*E96)/((E98*E94*E95)^(1/3)))*E98,IF($D$8="y",(((E101/1.13)*E96)/(((E98*$D$6*10^6)/7.480519)^(1/3)))*(E98*$D$6*10^6),"")))</f>
        <v/>
      </c>
      <c r="F102" s="83" t="str">
        <f>IF(OR($D$7="c",$D$7="h"),(((F101/1.13)*F96)/((F98*PI()*(F94/2)^2)^(1/3)))*F98,IF($D$7="r",(((F101/1.13)*F96)/((F98*F94*F95)^(1/3)))*F98,IF($D$8="y",(((F101/1.13)*F96)/(((F98*$D$6*10^6)/7.480519)^(1/3)))*(F98*$D$6*10^6),"")))</f>
        <v/>
      </c>
      <c r="G102" s="83" t="str">
        <f>IF(OR($D$7="c",$D$7="h"),(((G101/1.13)*G96)/((G98*PI()*(G94/2)^2)^(1/3)))*G98,IF($D$7="r",(((G101/1.13)*G96)/((G98*G94*G95)^(1/3)))*G98,IF($D$8="y",(((G101/1.13)*G96)/(((G98*$D$6*10^6)/7.480519)^(1/3)))*(G98*$D$6*10^6),"")))</f>
        <v/>
      </c>
      <c r="H102" s="83" t="str">
        <f>IF(OR($D$7="c",$D$7="h"),(((H101/1.13)*H96)/((H98*PI()*(H94/2)^2)^(1/3)))*H98,IF($D$7="r",(((H101/1.13)*H96)/((H98*H94*H95)^(1/3)))*H98,IF($D$8="y",(((H101/1.13)*H96)/(((H98*$D$6*10^6)/7.480519)^(1/3)))*(H98*$D$6*10^6),"")))</f>
        <v/>
      </c>
      <c r="I102" s="83" t="str">
        <f>IF(OR($D$7="c",$D$7="h"),(((I101/1.13)*I96)/((I98*PI()*(I94/2)^2)^(1/3)))*I98,IF($D$7="r",(((I101/1.13)*I96)/((I98*I94*I95)^(1/3)))*I98,IF($D$8="y",(((I101/1.13)*I96)/(((I98*$D$6*10^6)/7.480519)^(1/3)))*(I98*$D$6*10^6),"")))</f>
        <v/>
      </c>
      <c r="J102" s="106" t="str">
        <f>IF(OR(D7="c",D7="r"),"ft",IF(AND(D7="n",D8="y"),"gal",""))</f>
        <v/>
      </c>
      <c r="K102" s="106"/>
      <c r="L102" s="8"/>
      <c r="M102" s="8"/>
      <c r="N102" s="8"/>
      <c r="O102" s="105"/>
    </row>
    <row r="103" spans="2:15" ht="39" customHeight="1" x14ac:dyDescent="0.2">
      <c r="B103" s="103"/>
      <c r="C103" s="116" t="str">
        <f>IF(D8="y","","Pressure Drop After Change in Min Water Level")</f>
        <v>Pressure Drop After Change in Min Water Level</v>
      </c>
      <c r="D103" s="11"/>
      <c r="E103" s="12">
        <f>IF($D$8="y","",($D$98-E98)/2.31)</f>
        <v>0</v>
      </c>
      <c r="F103" s="12">
        <f>IF($D$8="y","",($D$98-F98)/2.31)</f>
        <v>0</v>
      </c>
      <c r="G103" s="12">
        <f>IF($D$8="y","",($D$98-G98)/2.31)</f>
        <v>0</v>
      </c>
      <c r="H103" s="12">
        <f>IF($D$8="y","",($D$98-H98)/2.31)</f>
        <v>0</v>
      </c>
      <c r="I103" s="12">
        <f>IF($D$8="y","",($D$98-I98)/2.31)</f>
        <v>0</v>
      </c>
      <c r="J103" s="106" t="str">
        <f>IF(OR(D7="c",D7="r",D7="h"),"psi",IF(AND(D7="n",D8="y"),"",""))</f>
        <v/>
      </c>
      <c r="K103" s="106"/>
      <c r="L103" s="8"/>
      <c r="M103" s="8"/>
      <c r="N103" s="8"/>
      <c r="O103" s="105"/>
    </row>
    <row r="104" spans="2:15" x14ac:dyDescent="0.2">
      <c r="B104" s="103"/>
      <c r="C104" s="134" t="s">
        <v>33</v>
      </c>
      <c r="D104" s="35" t="e">
        <f>'Tank#6'!E74</f>
        <v>#DIV/0!</v>
      </c>
      <c r="E104" s="35" t="e">
        <f>D104</f>
        <v>#DIV/0!</v>
      </c>
      <c r="F104" s="35" t="e">
        <f>E104</f>
        <v>#DIV/0!</v>
      </c>
      <c r="G104" s="35" t="e">
        <f>F104</f>
        <v>#DIV/0!</v>
      </c>
      <c r="H104" s="35" t="e">
        <f>G104</f>
        <v>#DIV/0!</v>
      </c>
      <c r="I104" s="35" t="e">
        <f>H104</f>
        <v>#DIV/0!</v>
      </c>
      <c r="J104" s="106" t="s">
        <v>28</v>
      </c>
      <c r="K104" s="106"/>
      <c r="L104" s="8"/>
      <c r="M104" s="8"/>
      <c r="N104" s="8"/>
      <c r="O104" s="105"/>
    </row>
    <row r="105" spans="2:15" ht="25.5" x14ac:dyDescent="0.2">
      <c r="B105" s="103"/>
      <c r="C105" s="116" t="s">
        <v>32</v>
      </c>
      <c r="D105" s="35" t="e">
        <f>'Tank#6'!E75</f>
        <v>#DIV/0!</v>
      </c>
      <c r="E105" s="35" t="e">
        <f>D105</f>
        <v>#DIV/0!</v>
      </c>
      <c r="F105" s="35" t="e">
        <f>D105</f>
        <v>#DIV/0!</v>
      </c>
      <c r="G105" s="35" t="e">
        <f>D105</f>
        <v>#DIV/0!</v>
      </c>
      <c r="H105" s="35" t="e">
        <f>D105</f>
        <v>#DIV/0!</v>
      </c>
      <c r="I105" s="35" t="e">
        <f>D105</f>
        <v>#DIV/0!</v>
      </c>
      <c r="J105" s="106" t="s">
        <v>28</v>
      </c>
      <c r="K105" s="106"/>
      <c r="L105" s="8"/>
      <c r="M105" s="8"/>
      <c r="N105" s="8"/>
      <c r="O105" s="105"/>
    </row>
    <row r="106" spans="2:15" x14ac:dyDescent="0.2">
      <c r="B106" s="103"/>
      <c r="C106" s="134" t="s">
        <v>59</v>
      </c>
      <c r="D106" s="11" t="e">
        <f>'Tank#6'!E72</f>
        <v>#DIV/0!</v>
      </c>
      <c r="E106" s="11" t="e">
        <f>ROUND(IF(OR($D$7="c",$D$7="h"),(E97-E98)*PI()*((E94/2)^2)*7.480519/(E104*24*60),IF($D$7="r",(E97-E98)*E94*E95*7.480519/(E104*24*60),IF($D$8="y",((E97*$D$6*10^6)-(E98*$D$6*10^6))/(E104*24*60),""))),2)</f>
        <v>#VALUE!</v>
      </c>
      <c r="F106" s="11" t="e">
        <f>ROUND(IF(OR($D$7="c",$D$7="h"),(F97-F98)*PI()*((F94/2)^2)*7.480519/(F104*24*60),IF($D$7="r",(F97-F98)*F94*F95*7.480519/(F104*24*60),IF($D$8="y",((F97*$D$6*10^6)-(F98*$D$6*10^6))/(F104*24*60),""))),2)</f>
        <v>#VALUE!</v>
      </c>
      <c r="G106" s="11" t="e">
        <f>ROUND(IF(OR($D$7="c",$D$7="h"),(G97-G98)*PI()*((G94/2)^2)*7.480519/(G104*24*60),IF($D$7="r",(G97-G98)*G94*G95*7.480519/(G104*24*60),IF($D$8="y",((G97*$D$6*10^6)-(G98*$D$6*10^6))/(G104*24*60),""))),2)</f>
        <v>#VALUE!</v>
      </c>
      <c r="H106" s="11" t="e">
        <f>ROUND(IF(OR($D$7="c",$D$7="h"),(H97-H98)*PI()*((H94/2)^2)*7.480519/(H104*24*60),IF($D$7="r",(H97-H98)*H94*H95*7.480519/(H104*24*60),IF($D$8="y",((H97*$D$6*10^6)-(H98*$D$6*10^6))/(H104*24*60),""))),2)</f>
        <v>#VALUE!</v>
      </c>
      <c r="I106" s="11" t="e">
        <f>ROUND(IF(OR($D$7="c",$D$7="h"),(I97-I98)*PI()*((I94/2)^2)*7.480519/(I104*24*60),IF($D$7="r",(I97-I98)*I94*I95*7.480519/(I104*24*60),IF($D$8="y",((I97*$D$6*10^6)-(I98*$D$6*10^6))/(I104*24*60),""))),2)</f>
        <v>#VALUE!</v>
      </c>
      <c r="J106" s="106" t="s">
        <v>2</v>
      </c>
      <c r="K106" s="106"/>
      <c r="L106" s="8"/>
      <c r="M106" s="8"/>
      <c r="N106" s="8"/>
      <c r="O106" s="105"/>
    </row>
    <row r="107" spans="2:15" x14ac:dyDescent="0.2">
      <c r="B107" s="103"/>
      <c r="C107" s="116" t="s">
        <v>60</v>
      </c>
      <c r="D107" s="11" t="e">
        <f>'Tank#6'!E73</f>
        <v>#DIV/0!</v>
      </c>
      <c r="E107" s="11" t="e">
        <f>ROUND(IF(OR($D$7="c",$D$7="h"),(E97-E98)*PI()*((E94/2)^2)*7.480519/(E105*24*60),IF($D$7="r",(E97-E98)*E94*E95*7.480519/(E105*24*60),IF($D$8="y",((E97*$D$6*10^6)-(E98*$D$6*10^6))/(E105*24*60),""))),2)</f>
        <v>#VALUE!</v>
      </c>
      <c r="F107" s="11" t="e">
        <f>ROUND(IF(OR($D$7="c",$D$7="h"),(F97-F98)*PI()*((F94/2)^2)*7.480519/(F105*24*60),IF($D$7="r",(F97-F98)*F94*F95*7.480519/(F105*24*60),IF($D$8="y",((F97*$D$6*10^6)-(F98*$D$6*10^6))/(F105*24*60),""))),2)</f>
        <v>#VALUE!</v>
      </c>
      <c r="G107" s="11" t="e">
        <f>ROUND(IF(OR($D$7="c",$D$7="h"),(G97-G98)*PI()*((G94/2)^2)*7.480519/(G105*24*60),IF($D$7="r",(G97-G98)*G94*G95*7.480519/(G105*24*60),IF($D$8="y",((G97*$D$6*10^6)-(G98*$D$6*10^6))/(G105*24*60),""))),2)</f>
        <v>#VALUE!</v>
      </c>
      <c r="H107" s="11" t="e">
        <f>ROUND(IF(OR($D$7="c",$D$7="h"),(H97-H98)*PI()*((H94/2)^2)*7.480519/(H105*24*60),IF($D$7="r",(H97-H98)*H94*H95*7.480519/(H105*24*60),IF($D$8="y",((H97*$D$6*10^6)-(H98*$D$6*10^6))/(H105*24*60),""))),2)</f>
        <v>#VALUE!</v>
      </c>
      <c r="I107" s="11" t="e">
        <f>ROUND(IF(OR($D$7="c",$D$7="h"),(I97-I98)*PI()*((I94/2)^2)*7.480519/(I105*24*60),IF($D$7="r",(I97-I98)*I94*I95*7.480519/(I105*24*60),IF($D$8="y",((I97*$D$6*10^6)-(I98*$D$6*10^6))/(I105*24*60),""))),2)</f>
        <v>#VALUE!</v>
      </c>
      <c r="J107" s="106" t="s">
        <v>2</v>
      </c>
      <c r="K107" s="106"/>
      <c r="L107" s="8"/>
      <c r="M107" s="8"/>
      <c r="N107" s="8"/>
      <c r="O107" s="105"/>
    </row>
    <row r="108" spans="2:15" ht="25.5" x14ac:dyDescent="0.2">
      <c r="B108" s="103"/>
      <c r="C108" s="134" t="s">
        <v>57</v>
      </c>
      <c r="D108" s="11" t="e">
        <f>'Tank#6'!E70</f>
        <v>#DIV/0!</v>
      </c>
      <c r="E108" s="11" t="str">
        <f>IF(OR($D$7="c",$D$7="h"),(E97-E98)*PI()*((E94/2)^2)*7.480519/10^6,IF($D$7="r",(E97-E98)*E94*E95*7.480519/10^6,IF($D$8="y",((E97*$D$6*10^6)-(E98*$D$6*10^6))/10^6,"")))</f>
        <v/>
      </c>
      <c r="F108" s="11" t="str">
        <f>IF(OR($D$7="c",$D$7="h"),(F97-F98)*PI()*((F94/2)^2)*7.480519/10^6,IF($D$7="r",(F97-F98)*F94*F95*7.480519/10^6,IF($D$8="y",((F97*$D$6*10^6)-(F98*$D$6*10^6))/10^6,"")))</f>
        <v/>
      </c>
      <c r="G108" s="11" t="str">
        <f>IF(OR($D$7="c",$D$7="h"),(G97-G98)*PI()*((G94/2)^2)*7.480519/10^6,IF($D$7="r",(G97-G98)*G94*G95*7.480519/10^6,IF($D$8="y",((G97*$D$6*10^6)-(G98*$D$6*10^6))/10^6,"")))</f>
        <v/>
      </c>
      <c r="H108" s="11" t="str">
        <f>IF(OR($D$7="c",$D$7="h"),(H97-H98)*PI()*((H94/2)^2)*7.480519/10^6,IF($D$7="r",(H97-H98)*H94*H95*7.480519/10^6,IF($D$8="y",((H97*$D$6*10^6)-(H98*$D$6*10^6))/10^6,"")))</f>
        <v/>
      </c>
      <c r="I108" s="11" t="str">
        <f>IF(OR($D$7="c",$D$7="h"),(I97-I98)*PI()*((I94/2)^2)*7.480519/10^6,IF($D$7="r",(I97-I98)*I94*I95*7.480519/10^6,IF($D$8="y",((I97*$D$6*10^6)-(I98*$D$6*10^6))/10^6,"")))</f>
        <v/>
      </c>
      <c r="J108" s="106" t="s">
        <v>5</v>
      </c>
      <c r="K108" s="106"/>
      <c r="L108" s="8"/>
      <c r="M108" s="8"/>
      <c r="N108" s="8"/>
      <c r="O108" s="105"/>
    </row>
    <row r="109" spans="2:15" x14ac:dyDescent="0.2">
      <c r="B109" s="103"/>
      <c r="C109" s="116" t="s">
        <v>58</v>
      </c>
      <c r="D109" s="11" t="e">
        <f>'Tank#6'!E76</f>
        <v>#DIV/0!</v>
      </c>
      <c r="E109" s="11" t="e">
        <f>E107+E106</f>
        <v>#VALUE!</v>
      </c>
      <c r="F109" s="11" t="e">
        <f>F107+F106</f>
        <v>#VALUE!</v>
      </c>
      <c r="G109" s="11" t="e">
        <f>G107+G106</f>
        <v>#VALUE!</v>
      </c>
      <c r="H109" s="11" t="e">
        <f>H107+H106</f>
        <v>#VALUE!</v>
      </c>
      <c r="I109" s="11" t="e">
        <f>I107+I106</f>
        <v>#VALUE!</v>
      </c>
      <c r="J109" s="106" t="s">
        <v>2</v>
      </c>
      <c r="K109" s="106"/>
      <c r="L109" s="8"/>
      <c r="M109" s="8"/>
      <c r="N109" s="8"/>
      <c r="O109" s="105"/>
    </row>
    <row r="110" spans="2:15" x14ac:dyDescent="0.2">
      <c r="B110" s="103"/>
      <c r="C110" s="134" t="s">
        <v>7</v>
      </c>
      <c r="D110" s="11" t="e">
        <f>'Tank#6'!$E$77</f>
        <v>#DIV/0!</v>
      </c>
      <c r="E110" s="34" t="e">
        <f>E108/E109</f>
        <v>#VALUE!</v>
      </c>
      <c r="F110" s="34" t="e">
        <f>F108/F109</f>
        <v>#VALUE!</v>
      </c>
      <c r="G110" s="34" t="e">
        <f>G108/G109</f>
        <v>#VALUE!</v>
      </c>
      <c r="H110" s="34" t="e">
        <f>H108/H109</f>
        <v>#VALUE!</v>
      </c>
      <c r="I110" s="34" t="e">
        <f>I108/I109</f>
        <v>#VALUE!</v>
      </c>
      <c r="J110" s="106" t="s">
        <v>3</v>
      </c>
      <c r="K110" s="106"/>
      <c r="L110" s="8"/>
      <c r="M110" s="8"/>
      <c r="N110" s="8"/>
      <c r="O110" s="105"/>
    </row>
    <row r="111" spans="2:15" x14ac:dyDescent="0.2">
      <c r="B111" s="103"/>
      <c r="C111" s="116" t="s">
        <v>6</v>
      </c>
      <c r="D111" s="11" t="e">
        <f>'Tank#6'!$E$78</f>
        <v>#DIV/0!</v>
      </c>
      <c r="E111" s="34" t="str">
        <f>IF(OR($D$7="c",$D$7="h"),((E97+E98)/2)*PI()*((E94/2)^2)*7.480519/10^6,IF($D$7="r",((E97+E98)/2)*E94*E95*7.480519/10^6,IF($D$8="y",(((E97*$D$6*10^6)+(E98*$D$6*10^6))/2)/10^6,"")))</f>
        <v/>
      </c>
      <c r="F111" s="34" t="str">
        <f>IF(OR($D$7="c",$D$7="h"),((F97+F98)/2)*PI()*((F94/2)^2)*7.480519/10^6,IF($D$7="r",((F97+F98)/2)*F94*F95*7.480519/10^6,IF($D$8="y",(((F97*$D$6*10^6)+(F98*$D$6*10^6))/2)/10^6,"")))</f>
        <v/>
      </c>
      <c r="G111" s="34" t="str">
        <f>IF(OR($D$7="c",$D$7="h"),((G97+G98)/2)*PI()*((G94/2)^2)*7.480519/10^6,IF($D$7="r",((G97+G98)/2)*G94*G95*7.480519/10^6,IF($D$8="y",(((G97*$D$6*10^6)+(G98*$D$6*10^6))/2)/10^6,"")))</f>
        <v/>
      </c>
      <c r="H111" s="34" t="str">
        <f>IF(OR($D$7="c",$D$7="h"),((H97+H98)/2)*PI()*((H94/2)^2)*7.480519/10^6,IF($D$7="r",((H97+H98)/2)*H94*H95*7.480519/10^6,IF($D$8="y",(((H97*$D$6*10^6)+(H98*$D$6*10^6))/2)/10^6,"")))</f>
        <v/>
      </c>
      <c r="I111" s="34" t="str">
        <f>IF(OR($D$7="c",$D$7="h"),((I97+I98)/2)*PI()*((I94/2)^2)*7.480519/10^6,IF($D$7="r",((I97+I98)/2)*I94*I95*7.480519/10^6,IF($D$8="y",(((I97*$D$6*10^6)+(I98*$D$6*10^6))/2)/10^6,"")))</f>
        <v/>
      </c>
      <c r="J111" s="106" t="s">
        <v>5</v>
      </c>
      <c r="K111" s="106"/>
      <c r="L111" s="8"/>
      <c r="M111" s="8"/>
      <c r="N111" s="8"/>
      <c r="O111" s="105"/>
    </row>
    <row r="112" spans="2:15" ht="25.5" x14ac:dyDescent="0.2">
      <c r="B112" s="103"/>
      <c r="C112" s="153" t="s">
        <v>65</v>
      </c>
      <c r="D112" s="154" t="e">
        <f>'Tank#6'!J75</f>
        <v>#DIV/0!</v>
      </c>
      <c r="E112" s="155" t="e">
        <f>E100/E102</f>
        <v>#VALUE!</v>
      </c>
      <c r="F112" s="155" t="e">
        <f>F100/F102</f>
        <v>#VALUE!</v>
      </c>
      <c r="G112" s="155" t="e">
        <f>G100/G102</f>
        <v>#VALUE!</v>
      </c>
      <c r="H112" s="155" t="e">
        <f>H100/H102</f>
        <v>#VALUE!</v>
      </c>
      <c r="I112" s="155" t="e">
        <f>I100/I102</f>
        <v>#VALUE!</v>
      </c>
      <c r="J112" s="106"/>
      <c r="K112" s="106"/>
      <c r="L112" s="8"/>
      <c r="M112" s="8"/>
      <c r="N112" s="8"/>
      <c r="O112" s="105"/>
    </row>
    <row r="113" spans="2:15" x14ac:dyDescent="0.2">
      <c r="B113" s="103"/>
      <c r="C113" s="153" t="s">
        <v>9</v>
      </c>
      <c r="D113" s="156" t="e">
        <f>'Tank#6'!$E$79</f>
        <v>#DIV/0!</v>
      </c>
      <c r="E113" s="156" t="e">
        <f>E111/E110</f>
        <v>#VALUE!</v>
      </c>
      <c r="F113" s="156" t="e">
        <f>F111/F110</f>
        <v>#VALUE!</v>
      </c>
      <c r="G113" s="156" t="e">
        <f>G111/G110</f>
        <v>#VALUE!</v>
      </c>
      <c r="H113" s="156" t="e">
        <f>H111/H110</f>
        <v>#VALUE!</v>
      </c>
      <c r="I113" s="156" t="e">
        <f>I111/I110</f>
        <v>#VALUE!</v>
      </c>
      <c r="J113" s="106" t="s">
        <v>2</v>
      </c>
      <c r="K113" s="106"/>
      <c r="L113" s="8"/>
      <c r="M113" s="8"/>
      <c r="N113" s="8"/>
      <c r="O113" s="105"/>
    </row>
    <row r="114" spans="2:15" ht="13.5" thickBot="1" x14ac:dyDescent="0.25">
      <c r="B114" s="112"/>
      <c r="C114" s="113"/>
      <c r="D114" s="113"/>
      <c r="E114" s="113"/>
      <c r="F114" s="113"/>
      <c r="G114" s="117"/>
      <c r="H114" s="117"/>
      <c r="I114" s="118"/>
      <c r="J114" s="113"/>
      <c r="K114" s="113"/>
      <c r="L114" s="113"/>
      <c r="M114" s="113"/>
      <c r="N114" s="113"/>
      <c r="O114" s="114"/>
    </row>
    <row r="115" spans="2:15" ht="19.5" hidden="1" thickBot="1" x14ac:dyDescent="0.35">
      <c r="B115" s="127" t="s">
        <v>246</v>
      </c>
      <c r="C115" s="122"/>
      <c r="D115" s="131"/>
      <c r="E115" s="122"/>
      <c r="F115" s="122"/>
      <c r="G115" s="122"/>
      <c r="H115" s="122"/>
      <c r="I115" s="122"/>
      <c r="J115" s="122"/>
      <c r="K115" s="122"/>
      <c r="L115" s="129"/>
      <c r="M115" s="129"/>
      <c r="N115" s="129"/>
      <c r="O115" s="130"/>
    </row>
    <row r="116" spans="2:15" hidden="1" x14ac:dyDescent="0.2">
      <c r="B116" s="165"/>
      <c r="C116" s="115"/>
      <c r="D116" s="115"/>
      <c r="E116" s="115"/>
      <c r="F116" s="115"/>
      <c r="G116" s="115"/>
      <c r="H116" s="115"/>
      <c r="I116" s="115"/>
      <c r="J116" s="115"/>
      <c r="K116" s="115"/>
      <c r="L116" s="101"/>
      <c r="M116" s="101"/>
      <c r="N116" s="101"/>
      <c r="O116" s="102"/>
    </row>
    <row r="117" spans="2:15" hidden="1" x14ac:dyDescent="0.2">
      <c r="B117" s="103"/>
      <c r="C117" s="106" t="s">
        <v>101</v>
      </c>
      <c r="D117" s="31"/>
      <c r="E117" s="31"/>
      <c r="F117" s="31"/>
      <c r="G117" s="31"/>
      <c r="H117" s="31"/>
      <c r="I117" s="31"/>
      <c r="J117" s="31"/>
      <c r="K117" s="31"/>
      <c r="L117" s="8"/>
      <c r="M117" s="8"/>
      <c r="N117" s="8"/>
      <c r="O117" s="105"/>
    </row>
    <row r="118" spans="2:15" hidden="1" x14ac:dyDescent="0.2">
      <c r="B118" s="103"/>
      <c r="C118" s="106" t="s">
        <v>103</v>
      </c>
      <c r="D118" s="31"/>
      <c r="E118" s="31"/>
      <c r="F118" s="31"/>
      <c r="G118" s="31"/>
      <c r="H118" s="31"/>
      <c r="I118" s="31"/>
      <c r="J118" s="31"/>
      <c r="K118" s="31"/>
      <c r="L118" s="8"/>
      <c r="M118" s="8"/>
      <c r="N118" s="8"/>
      <c r="O118" s="105"/>
    </row>
    <row r="119" spans="2:15" hidden="1" x14ac:dyDescent="0.2">
      <c r="B119" s="103"/>
      <c r="C119" s="106" t="s">
        <v>104</v>
      </c>
      <c r="D119" s="31"/>
      <c r="E119" s="31"/>
      <c r="F119" s="31"/>
      <c r="G119" s="31"/>
      <c r="H119" s="31"/>
      <c r="I119" s="31"/>
      <c r="J119" s="31"/>
      <c r="K119" s="31"/>
      <c r="L119" s="8"/>
      <c r="M119" s="8"/>
      <c r="N119" s="8"/>
      <c r="O119" s="105"/>
    </row>
    <row r="120" spans="2:15" hidden="1" x14ac:dyDescent="0.2">
      <c r="B120" s="103"/>
      <c r="C120" s="106" t="s">
        <v>105</v>
      </c>
      <c r="D120" s="31"/>
      <c r="E120" s="31"/>
      <c r="F120" s="31"/>
      <c r="G120" s="31"/>
      <c r="H120" s="31"/>
      <c r="I120" s="31"/>
      <c r="J120" s="31"/>
      <c r="K120" s="31"/>
      <c r="L120" s="8"/>
      <c r="M120" s="8"/>
      <c r="N120" s="8"/>
      <c r="O120" s="105"/>
    </row>
    <row r="121" spans="2:15" hidden="1" x14ac:dyDescent="0.2">
      <c r="B121" s="103"/>
      <c r="C121" s="124"/>
      <c r="D121" s="31"/>
      <c r="E121" s="31"/>
      <c r="F121" s="31"/>
      <c r="G121" s="31"/>
      <c r="H121" s="31"/>
      <c r="I121" s="31"/>
      <c r="J121" s="31"/>
      <c r="K121" s="31"/>
      <c r="L121" s="8"/>
      <c r="M121" s="8"/>
      <c r="N121" s="8"/>
      <c r="O121" s="105"/>
    </row>
    <row r="122" spans="2:15" ht="38.25" hidden="1" x14ac:dyDescent="0.2">
      <c r="B122" s="103"/>
      <c r="C122" s="31"/>
      <c r="D122" s="147" t="s">
        <v>94</v>
      </c>
      <c r="E122" s="84" t="s">
        <v>49</v>
      </c>
      <c r="F122" s="84" t="s">
        <v>50</v>
      </c>
      <c r="G122" s="84" t="s">
        <v>51</v>
      </c>
      <c r="H122" s="84" t="s">
        <v>52</v>
      </c>
      <c r="I122" s="84" t="s">
        <v>53</v>
      </c>
      <c r="J122" s="31"/>
      <c r="K122" s="31"/>
      <c r="L122" s="8"/>
      <c r="M122" s="8"/>
      <c r="N122" s="8"/>
      <c r="O122" s="105"/>
    </row>
    <row r="123" spans="2:15" hidden="1" x14ac:dyDescent="0.2">
      <c r="B123" s="103"/>
      <c r="C123" s="134" t="str">
        <f>IF(D49="y","Fraction Full (Max Level)","High/Max Level")</f>
        <v>High/Max Level</v>
      </c>
      <c r="D123" s="146" t="b">
        <f>IF(OR($D$7="c",$D$7="r",D7="h"),(SUM(E53:E67)/COUNTIF(E53:E67,"&gt;0")),IF($D$8="y",(SUM(E53:E67)/COUNTIF(E53:E67,"&gt;0"))/($D$6*10^6)))</f>
        <v>0</v>
      </c>
      <c r="E123" s="150">
        <f t="shared" ref="E123:I124" si="11">E97</f>
        <v>0</v>
      </c>
      <c r="F123" s="150">
        <f t="shared" si="11"/>
        <v>0</v>
      </c>
      <c r="G123" s="150">
        <f t="shared" si="11"/>
        <v>0</v>
      </c>
      <c r="H123" s="150">
        <f t="shared" si="11"/>
        <v>0</v>
      </c>
      <c r="I123" s="150">
        <f t="shared" si="11"/>
        <v>0</v>
      </c>
      <c r="J123" s="106" t="str">
        <f>IF(D49="y","","ft")</f>
        <v>ft</v>
      </c>
      <c r="K123" s="106"/>
      <c r="L123" s="8"/>
      <c r="M123" s="8"/>
      <c r="N123" s="8"/>
      <c r="O123" s="105"/>
    </row>
    <row r="124" spans="2:15" hidden="1" x14ac:dyDescent="0.2">
      <c r="B124" s="103"/>
      <c r="C124" s="134" t="str">
        <f>IF(D49="y","Fraction Full (Min Level)","Low/Min Level")</f>
        <v>Low/Min Level</v>
      </c>
      <c r="D124" s="146" t="b">
        <f>IF(OR($D$7="c",$D$7="r",D7="h"),(SUM(D53:D67)/COUNTIF(D53:D67,"&gt;0")),IF($D$8="y",(SUM(D53:D67)/COUNTIF(D53:D67,"&gt;0"))/($D$6*10^6)))</f>
        <v>0</v>
      </c>
      <c r="E124" s="150">
        <f t="shared" si="11"/>
        <v>0</v>
      </c>
      <c r="F124" s="150">
        <f t="shared" si="11"/>
        <v>0</v>
      </c>
      <c r="G124" s="150">
        <f t="shared" si="11"/>
        <v>0</v>
      </c>
      <c r="H124" s="150">
        <f t="shared" si="11"/>
        <v>0</v>
      </c>
      <c r="I124" s="150">
        <f t="shared" si="11"/>
        <v>0</v>
      </c>
      <c r="J124" s="106" t="str">
        <f>IF(D49="y","","ft")</f>
        <v>ft</v>
      </c>
      <c r="K124" s="106"/>
      <c r="L124" s="8"/>
      <c r="M124" s="8"/>
      <c r="N124" s="8"/>
      <c r="O124" s="105"/>
    </row>
    <row r="125" spans="2:15" ht="24.75" hidden="1" customHeight="1" x14ac:dyDescent="0.2">
      <c r="B125" s="103"/>
      <c r="C125" s="153" t="s">
        <v>102</v>
      </c>
      <c r="D125" s="157" t="e">
        <f t="shared" ref="D125:I126" si="12">D112</f>
        <v>#DIV/0!</v>
      </c>
      <c r="E125" s="157" t="e">
        <f t="shared" si="12"/>
        <v>#VALUE!</v>
      </c>
      <c r="F125" s="157" t="e">
        <f t="shared" si="12"/>
        <v>#VALUE!</v>
      </c>
      <c r="G125" s="157" t="e">
        <f t="shared" si="12"/>
        <v>#VALUE!</v>
      </c>
      <c r="H125" s="157" t="e">
        <f t="shared" si="12"/>
        <v>#VALUE!</v>
      </c>
      <c r="I125" s="157" t="e">
        <f t="shared" si="12"/>
        <v>#VALUE!</v>
      </c>
      <c r="J125" s="106"/>
      <c r="K125" s="106"/>
      <c r="L125" s="8"/>
      <c r="M125" s="8"/>
      <c r="N125" s="8"/>
      <c r="O125" s="105"/>
    </row>
    <row r="126" spans="2:15" hidden="1" x14ac:dyDescent="0.2">
      <c r="B126" s="103"/>
      <c r="C126" s="153" t="s">
        <v>9</v>
      </c>
      <c r="D126" s="158" t="e">
        <f t="shared" si="12"/>
        <v>#DIV/0!</v>
      </c>
      <c r="E126" s="156" t="e">
        <f t="shared" si="12"/>
        <v>#VALUE!</v>
      </c>
      <c r="F126" s="156" t="e">
        <f t="shared" si="12"/>
        <v>#VALUE!</v>
      </c>
      <c r="G126" s="156" t="e">
        <f t="shared" si="12"/>
        <v>#VALUE!</v>
      </c>
      <c r="H126" s="156" t="e">
        <f t="shared" si="12"/>
        <v>#VALUE!</v>
      </c>
      <c r="I126" s="156" t="e">
        <f t="shared" si="12"/>
        <v>#VALUE!</v>
      </c>
      <c r="J126" s="106" t="s">
        <v>2</v>
      </c>
      <c r="K126" s="106"/>
      <c r="L126" s="8"/>
      <c r="M126" s="8"/>
      <c r="N126" s="8"/>
      <c r="O126" s="105"/>
    </row>
    <row r="127" spans="2:15" ht="38.25" hidden="1" x14ac:dyDescent="0.2">
      <c r="B127" s="103"/>
      <c r="C127" s="178" t="s">
        <v>99</v>
      </c>
      <c r="D127" s="162"/>
      <c r="E127" s="179">
        <f>D127</f>
        <v>0</v>
      </c>
      <c r="F127" s="179">
        <f>D127</f>
        <v>0</v>
      </c>
      <c r="G127" s="179">
        <f>D127</f>
        <v>0</v>
      </c>
      <c r="H127" s="179">
        <f>D127</f>
        <v>0</v>
      </c>
      <c r="I127" s="179">
        <f>D127</f>
        <v>0</v>
      </c>
      <c r="J127" s="106" t="s">
        <v>90</v>
      </c>
      <c r="K127" s="106"/>
      <c r="L127" s="8"/>
      <c r="M127" s="8"/>
      <c r="N127" s="8"/>
      <c r="O127" s="105"/>
    </row>
    <row r="128" spans="2:15" ht="25.5" hidden="1" x14ac:dyDescent="0.2">
      <c r="B128" s="103"/>
      <c r="C128" s="134" t="s">
        <v>95</v>
      </c>
      <c r="D128" s="135" t="e">
        <f>SUM(F53:F67)/COUNTIF(F53:F67,"&gt;0")</f>
        <v>#DIV/0!</v>
      </c>
      <c r="E128" s="135" t="str">
        <f>IF(OR($D$7="c",$D$7="h"),(E98)*PI()*($D$10/2)^2*7.48/10^6,IF($D$7="r",E98*$D$10*$D$11*7.48/10^6,IF($D$8="y",E98/10^6,"error")))</f>
        <v>error</v>
      </c>
      <c r="F128" s="135" t="str">
        <f>IF(OR($D$7="c",$D$7="h"),(F98)*PI()*($D$10/2)^2*7.48/10^6,IF($D$7="r",F98*$D$10*$D$11*7.48/10^6,IF($D$8="y",F98/10^6,"error")))</f>
        <v>error</v>
      </c>
      <c r="G128" s="135" t="str">
        <f>IF(OR($D$7="c",$D$7="h"),(G98)*PI()*($D$10/2)^2*7.48/10^6,IF($D$7="r",G98*$D$10*$D$11*7.48/10^6,IF($D$8="y",G98/10^6,"error")))</f>
        <v>error</v>
      </c>
      <c r="H128" s="135" t="str">
        <f>IF(OR($D$7="c",$D$7="h"),(H98)*PI()*($D$10/2)^2*7.48/10^6,IF($D$7="r",H98*$D$10*$D$11*7.48/10^6,IF($D$8="y",H98/10^6,"error")))</f>
        <v>error</v>
      </c>
      <c r="I128" s="135" t="str">
        <f>IF(OR($D$7="c",$D$7="h"),(I98)*PI()*($D$10/2)^2*7.48/10^6,IF($D$7="r",I98*$D$10*$D$11*7.48/10^6,IF($D$8="y",I98/10^6,"error")))</f>
        <v>error</v>
      </c>
      <c r="J128" s="106" t="s">
        <v>5</v>
      </c>
      <c r="K128" s="106"/>
      <c r="L128" s="8"/>
      <c r="M128" s="8"/>
      <c r="N128" s="8"/>
      <c r="O128" s="105"/>
    </row>
    <row r="129" spans="2:15" ht="38.25" hidden="1" x14ac:dyDescent="0.2">
      <c r="B129" s="103"/>
      <c r="C129" s="136" t="s">
        <v>96</v>
      </c>
      <c r="D129" s="135" t="e">
        <f>SUM(F53:F67)/COUNTIF(F53:F67,"&gt;0")+SUM(G53:G67)/COUNTIF(G53:G67,"&gt;0")</f>
        <v>#DIV/0!</v>
      </c>
      <c r="E129" s="11" t="str">
        <f>IF(OR($D$7="c",$D$7="h"),(E97)*PI()*($D$10/2)^2*7.48/10^6,IF($D$7="r",E97*$D$10*$D$11*7.48/10^6,IF($D$8="y",E97/10^6,"error")))</f>
        <v>error</v>
      </c>
      <c r="F129" s="11" t="str">
        <f>IF(OR($D$7="c",$D$7="h"),(F97)*PI()*($D$10/2)^2*7.48/10^6,IF($D$7="r",F97*$D$10*$D$11*7.48/10^6,IF($D$8="y",F97/10^6,"error")))</f>
        <v>error</v>
      </c>
      <c r="G129" s="11" t="str">
        <f>IF(OR($D$7="c",$D$7="h"),(G97)*PI()*($D$10/2)^2*7.48/10^6,IF($D$7="r",G97*$D$10*$D$11*7.48/10^6,IF($D$8="y",G97/10^6,"error")))</f>
        <v>error</v>
      </c>
      <c r="H129" s="11" t="str">
        <f>IF(OR($D$7="c",$D$7="h"),(H97)*PI()*($D$10/2)^2*7.48/10^6,IF($D$7="r",H97*$D$10*$D$11*7.48/10^6,IF($D$8="y",H97/10^6,"error")))</f>
        <v>error</v>
      </c>
      <c r="I129" s="11" t="str">
        <f>IF(OR($D$7="c",$D$7="h"),(I97)*PI()*($D$10/2)^2*7.48/10^6,IF($D$7="r",I97*$D$10*$D$11*7.48/10^6,IF($D$8="y",I97/10^6,"error")))</f>
        <v>error</v>
      </c>
      <c r="J129" s="106" t="s">
        <v>5</v>
      </c>
      <c r="K129" s="106"/>
      <c r="L129" s="8"/>
      <c r="M129" s="8"/>
      <c r="N129" s="8"/>
      <c r="O129" s="105"/>
    </row>
    <row r="130" spans="2:15" hidden="1" x14ac:dyDescent="0.2">
      <c r="B130" s="103"/>
      <c r="C130" s="134" t="s">
        <v>98</v>
      </c>
      <c r="D130" s="135" t="e">
        <f t="shared" ref="D130:I131" si="13">D106</f>
        <v>#DIV/0!</v>
      </c>
      <c r="E130" s="135" t="e">
        <f t="shared" si="13"/>
        <v>#VALUE!</v>
      </c>
      <c r="F130" s="135" t="e">
        <f t="shared" si="13"/>
        <v>#VALUE!</v>
      </c>
      <c r="G130" s="135" t="e">
        <f t="shared" si="13"/>
        <v>#VALUE!</v>
      </c>
      <c r="H130" s="135" t="e">
        <f t="shared" si="13"/>
        <v>#VALUE!</v>
      </c>
      <c r="I130" s="135" t="e">
        <f t="shared" si="13"/>
        <v>#VALUE!</v>
      </c>
      <c r="J130" s="106" t="s">
        <v>2</v>
      </c>
      <c r="K130" s="106"/>
      <c r="L130" s="8"/>
      <c r="M130" s="8"/>
      <c r="N130" s="8"/>
      <c r="O130" s="105"/>
    </row>
    <row r="131" spans="2:15" hidden="1" x14ac:dyDescent="0.2">
      <c r="B131" s="103"/>
      <c r="C131" s="134" t="s">
        <v>97</v>
      </c>
      <c r="D131" s="146" t="e">
        <f t="shared" si="13"/>
        <v>#DIV/0!</v>
      </c>
      <c r="E131" s="146" t="e">
        <f t="shared" si="13"/>
        <v>#VALUE!</v>
      </c>
      <c r="F131" s="146" t="e">
        <f t="shared" si="13"/>
        <v>#VALUE!</v>
      </c>
      <c r="G131" s="146" t="e">
        <f t="shared" si="13"/>
        <v>#VALUE!</v>
      </c>
      <c r="H131" s="146" t="e">
        <f t="shared" si="13"/>
        <v>#VALUE!</v>
      </c>
      <c r="I131" s="146" t="e">
        <f t="shared" si="13"/>
        <v>#VALUE!</v>
      </c>
      <c r="J131" s="106" t="s">
        <v>2</v>
      </c>
      <c r="K131" s="106"/>
      <c r="L131" s="8"/>
      <c r="M131" s="8"/>
      <c r="N131" s="8"/>
      <c r="O131" s="105"/>
    </row>
    <row r="132" spans="2:15" ht="38.25" hidden="1" x14ac:dyDescent="0.2">
      <c r="B132" s="103"/>
      <c r="C132" s="134" t="s">
        <v>106</v>
      </c>
      <c r="D132" s="160" t="e">
        <f t="shared" ref="D132:I132" si="14">(D128/(D129-D128))*(D131+D130)+D131+D130*(1-((D128/(D129-D128))-ROUNDDOWN((D128/(D129-D128)),0)))</f>
        <v>#DIV/0!</v>
      </c>
      <c r="E132" s="160" t="e">
        <f t="shared" si="14"/>
        <v>#VALUE!</v>
      </c>
      <c r="F132" s="160" t="e">
        <f t="shared" si="14"/>
        <v>#VALUE!</v>
      </c>
      <c r="G132" s="160" t="e">
        <f t="shared" si="14"/>
        <v>#VALUE!</v>
      </c>
      <c r="H132" s="160" t="e">
        <f t="shared" si="14"/>
        <v>#VALUE!</v>
      </c>
      <c r="I132" s="160" t="e">
        <f t="shared" si="14"/>
        <v>#VALUE!</v>
      </c>
      <c r="J132" s="106" t="s">
        <v>2</v>
      </c>
      <c r="K132" s="106"/>
      <c r="L132" s="8"/>
      <c r="M132" s="8"/>
      <c r="N132" s="8"/>
      <c r="O132" s="105"/>
    </row>
    <row r="133" spans="2:15" ht="40.5" hidden="1" customHeight="1" x14ac:dyDescent="0.2">
      <c r="B133" s="103"/>
      <c r="C133" s="178" t="s">
        <v>100</v>
      </c>
      <c r="D133" s="162"/>
      <c r="E133" s="180">
        <f>D133</f>
        <v>0</v>
      </c>
      <c r="F133" s="180">
        <f>D133</f>
        <v>0</v>
      </c>
      <c r="G133" s="180">
        <f>D133</f>
        <v>0</v>
      </c>
      <c r="H133" s="180">
        <f>D133</f>
        <v>0</v>
      </c>
      <c r="I133" s="180">
        <f>D133</f>
        <v>0</v>
      </c>
      <c r="J133" s="106" t="s">
        <v>92</v>
      </c>
      <c r="K133" s="106"/>
      <c r="L133" s="8"/>
      <c r="M133" s="8"/>
      <c r="N133" s="8"/>
      <c r="O133" s="105"/>
    </row>
    <row r="134" spans="2:15" ht="39.75" hidden="1" x14ac:dyDescent="0.2">
      <c r="B134" s="103"/>
      <c r="C134" s="159" t="s">
        <v>128</v>
      </c>
      <c r="D134" s="161" t="e">
        <f t="shared" ref="D134:I134" si="15">((EXP(-D127*D131)-EXP(-D127*(D130+D131)))*D133)/(D127*D130*(1+(D128/(D129-D128))*(1-EXP(-D127*(D130+D131)))))</f>
        <v>#DIV/0!</v>
      </c>
      <c r="E134" s="161" t="e">
        <f t="shared" si="15"/>
        <v>#VALUE!</v>
      </c>
      <c r="F134" s="161" t="e">
        <f t="shared" si="15"/>
        <v>#VALUE!</v>
      </c>
      <c r="G134" s="161" t="e">
        <f t="shared" si="15"/>
        <v>#VALUE!</v>
      </c>
      <c r="H134" s="161" t="e">
        <f t="shared" si="15"/>
        <v>#VALUE!</v>
      </c>
      <c r="I134" s="161" t="e">
        <f t="shared" si="15"/>
        <v>#VALUE!</v>
      </c>
      <c r="J134" s="106" t="s">
        <v>92</v>
      </c>
      <c r="K134" s="106"/>
      <c r="L134" s="8"/>
      <c r="M134" s="8"/>
      <c r="N134" s="8"/>
      <c r="O134" s="105"/>
    </row>
    <row r="135" spans="2:15" ht="39.75" hidden="1" x14ac:dyDescent="0.2">
      <c r="B135" s="103"/>
      <c r="C135" s="159" t="s">
        <v>127</v>
      </c>
      <c r="D135" s="161" t="e">
        <f t="shared" ref="D135:I135" si="16">D133*EXP(-D127*D132)</f>
        <v>#DIV/0!</v>
      </c>
      <c r="E135" s="161" t="e">
        <f t="shared" si="16"/>
        <v>#VALUE!</v>
      </c>
      <c r="F135" s="161" t="e">
        <f t="shared" si="16"/>
        <v>#VALUE!</v>
      </c>
      <c r="G135" s="161" t="e">
        <f t="shared" si="16"/>
        <v>#VALUE!</v>
      </c>
      <c r="H135" s="161" t="e">
        <f t="shared" si="16"/>
        <v>#VALUE!</v>
      </c>
      <c r="I135" s="161" t="e">
        <f t="shared" si="16"/>
        <v>#VALUE!</v>
      </c>
      <c r="J135" s="106" t="s">
        <v>92</v>
      </c>
      <c r="K135" s="106"/>
      <c r="L135" s="8"/>
      <c r="M135" s="8"/>
      <c r="N135" s="8"/>
      <c r="O135" s="105"/>
    </row>
    <row r="136" spans="2:15" hidden="1" x14ac:dyDescent="0.2">
      <c r="B136" s="103"/>
      <c r="C136" s="8" t="s">
        <v>129</v>
      </c>
      <c r="D136" s="8"/>
      <c r="E136" s="8"/>
      <c r="F136" s="8"/>
      <c r="G136" s="8"/>
      <c r="H136" s="8"/>
      <c r="I136" s="8"/>
      <c r="J136" s="8"/>
      <c r="K136" s="8"/>
      <c r="L136" s="8"/>
      <c r="M136" s="8"/>
      <c r="N136" s="8"/>
      <c r="O136" s="105"/>
    </row>
    <row r="137" spans="2:15" hidden="1" x14ac:dyDescent="0.2">
      <c r="B137" s="103"/>
      <c r="C137" s="422" t="s">
        <v>130</v>
      </c>
      <c r="D137" s="422"/>
      <c r="E137" s="422"/>
      <c r="F137" s="422"/>
      <c r="G137" s="422"/>
      <c r="H137" s="422"/>
      <c r="I137" s="422"/>
      <c r="J137" s="8"/>
      <c r="K137" s="8"/>
      <c r="L137" s="8"/>
      <c r="M137" s="8"/>
      <c r="N137" s="8"/>
      <c r="O137" s="105"/>
    </row>
    <row r="138" spans="2:15" hidden="1" x14ac:dyDescent="0.2">
      <c r="B138" s="103"/>
      <c r="C138" s="422"/>
      <c r="D138" s="422"/>
      <c r="E138" s="422"/>
      <c r="F138" s="422"/>
      <c r="G138" s="422"/>
      <c r="H138" s="422"/>
      <c r="I138" s="422"/>
      <c r="J138" s="8"/>
      <c r="K138" s="8"/>
      <c r="L138" s="8"/>
      <c r="M138" s="8"/>
      <c r="N138" s="8"/>
      <c r="O138" s="105"/>
    </row>
    <row r="139" spans="2:15" hidden="1" x14ac:dyDescent="0.2">
      <c r="B139" s="103"/>
      <c r="C139" s="422"/>
      <c r="D139" s="422"/>
      <c r="E139" s="422"/>
      <c r="F139" s="422"/>
      <c r="G139" s="422"/>
      <c r="H139" s="422"/>
      <c r="I139" s="422"/>
      <c r="J139" s="8"/>
      <c r="K139" s="8"/>
      <c r="L139" s="8"/>
      <c r="M139" s="8"/>
      <c r="N139" s="8"/>
      <c r="O139" s="105"/>
    </row>
    <row r="140" spans="2:15" hidden="1" x14ac:dyDescent="0.2">
      <c r="B140" s="103"/>
      <c r="C140" s="422"/>
      <c r="D140" s="422"/>
      <c r="E140" s="422"/>
      <c r="F140" s="422"/>
      <c r="G140" s="422"/>
      <c r="H140" s="422"/>
      <c r="I140" s="422"/>
      <c r="J140" s="8"/>
      <c r="K140" s="8"/>
      <c r="L140" s="8"/>
      <c r="M140" s="8"/>
      <c r="N140" s="8"/>
      <c r="O140" s="105"/>
    </row>
    <row r="141" spans="2:15" ht="25.5" hidden="1" customHeight="1" thickBot="1" x14ac:dyDescent="0.25">
      <c r="B141" s="112"/>
      <c r="C141" s="423"/>
      <c r="D141" s="423"/>
      <c r="E141" s="423"/>
      <c r="F141" s="423"/>
      <c r="G141" s="423"/>
      <c r="H141" s="423"/>
      <c r="I141" s="423"/>
      <c r="J141" s="113"/>
      <c r="K141" s="113"/>
      <c r="L141" s="113"/>
      <c r="M141" s="113"/>
      <c r="N141" s="113"/>
      <c r="O141" s="114"/>
    </row>
  </sheetData>
  <sheetProtection sheet="1" objects="1" scenarios="1"/>
  <mergeCells count="12">
    <mergeCell ref="C137:I141"/>
    <mergeCell ref="H69:K69"/>
    <mergeCell ref="E11:F12"/>
    <mergeCell ref="B2:O2"/>
    <mergeCell ref="D80:F83"/>
    <mergeCell ref="E48:F49"/>
    <mergeCell ref="H74:I74"/>
    <mergeCell ref="H76:I76"/>
    <mergeCell ref="I77:L80"/>
    <mergeCell ref="H75:I75"/>
    <mergeCell ref="J50:L50"/>
    <mergeCell ref="K51:K52"/>
  </mergeCells>
  <phoneticPr fontId="0" type="noConversion"/>
  <conditionalFormatting sqref="D112:I112">
    <cfRule type="cellIs" dxfId="31" priority="7" stopIfTrue="1" operator="greaterThanOrEqual">
      <formula>1</formula>
    </cfRule>
    <cfRule type="cellIs" dxfId="30" priority="8" stopIfTrue="1" operator="lessThan">
      <formula>1</formula>
    </cfRule>
  </conditionalFormatting>
  <conditionalFormatting sqref="D113:I113">
    <cfRule type="cellIs" dxfId="29" priority="5" stopIfTrue="1" operator="greaterThan">
      <formula>5</formula>
    </cfRule>
    <cfRule type="cellIs" dxfId="28" priority="6" stopIfTrue="1" operator="lessThanOrEqual">
      <formula>5</formula>
    </cfRule>
  </conditionalFormatting>
  <conditionalFormatting sqref="E79">
    <cfRule type="cellIs" dxfId="27" priority="3" stopIfTrue="1" operator="lessThanOrEqual">
      <formula>5</formula>
    </cfRule>
    <cfRule type="cellIs" dxfId="26" priority="4" stopIfTrue="1" operator="greaterThan">
      <formula>5</formula>
    </cfRule>
  </conditionalFormatting>
  <conditionalFormatting sqref="J75">
    <cfRule type="cellIs" dxfId="25" priority="1" stopIfTrue="1" operator="greaterThanOrEqual">
      <formula>1</formula>
    </cfRule>
    <cfRule type="cellIs" dxfId="24" priority="2" stopIfTrue="1" operator="lessThan">
      <formula>1</formula>
    </cfRule>
  </conditionalFormatting>
  <pageMargins left="0.75" right="0.75" top="1" bottom="1" header="0.5" footer="0.5"/>
  <pageSetup scale="63" fitToHeight="4" orientation="landscape" r:id="rId1"/>
  <headerFooter alignWithMargins="0"/>
  <rowBreaks count="2" manualBreakCount="2">
    <brk id="48" max="16383" man="1"/>
    <brk id="8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Introduction</vt:lpstr>
      <vt:lpstr>Tank Summary</vt:lpstr>
      <vt:lpstr>Example</vt:lpstr>
      <vt:lpstr>Tank#1</vt:lpstr>
      <vt:lpstr>Tank#2</vt:lpstr>
      <vt:lpstr>Tank#3</vt:lpstr>
      <vt:lpstr>Tank#4</vt:lpstr>
      <vt:lpstr>Tank#5</vt:lpstr>
      <vt:lpstr>Tank#6</vt:lpstr>
      <vt:lpstr>Tank#7</vt:lpstr>
      <vt:lpstr>Tank#8</vt:lpstr>
      <vt:lpstr>Tank#9</vt:lpstr>
      <vt:lpstr>Data Considerations</vt:lpstr>
      <vt:lpstr>Glossary</vt:lpstr>
      <vt:lpstr>Introduction!Print_Area</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dc:creator>
  <cp:lastModifiedBy>Justin Blashaw</cp:lastModifiedBy>
  <cp:lastPrinted>2006-04-19T13:04:29Z</cp:lastPrinted>
  <dcterms:created xsi:type="dcterms:W3CDTF">2002-10-27T15:47:47Z</dcterms:created>
  <dcterms:modified xsi:type="dcterms:W3CDTF">2019-05-06T17:22:59Z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f71893111efb4e4cb761790b47231be4</vt:lpwstr>
  </property>
</Properties>
</file>