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tables/table3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updateLinks="never" codeName="ThisWorkbook" hidePivotFieldList="1"/>
  <bookViews>
    <workbookView xWindow="15045" yWindow="1230" windowWidth="10350" windowHeight="11190"/>
  </bookViews>
  <sheets>
    <sheet name="Unit Conversion" sheetId="3" r:id="rId1"/>
    <sheet name="Lookup" sheetId="4" state="hidden" r:id="rId2"/>
    <sheet name="SigFigures" sheetId="5" state="hidden" r:id="rId3"/>
    <sheet name="Treatment Efficiency" sheetId="6" r:id="rId4"/>
    <sheet name="F-M Ratio" sheetId="8" r:id="rId5"/>
    <sheet name="Sludge Generation" sheetId="9" r:id="rId6"/>
  </sheets>
  <externalReferences>
    <externalReference r:id="rId7"/>
    <externalReference r:id="rId8"/>
  </externalReferences>
  <definedNames>
    <definedName name="_xlnm._FilterDatabase" localSheetId="0" hidden="1">'Unit Conversion'!$B$5:$F$6</definedName>
    <definedName name="Actual_Flow">'Sludge Generation'!$Z$11</definedName>
    <definedName name="Area">Lookup!$C$2:$C$10</definedName>
    <definedName name="BOD">[2]Sheet1!$AM$1:$AM$2</definedName>
    <definedName name="BOD_Conc">'Sludge Generation'!$Q$26</definedName>
    <definedName name="BOD5_Discharged">'Sludge Generation'!$Q$28</definedName>
    <definedName name="Ch94BOD5Removed">'Sludge Generation'!$Q$34</definedName>
    <definedName name="Ch94DailySludge">'Sludge Generation'!$D$49</definedName>
    <definedName name="Ch94DigestedSolids">'Sludge Generation'!$D$52</definedName>
    <definedName name="Digestion">[2]Sheet1!$AP$1:$AP$9</definedName>
    <definedName name="Digestion_Factor">'Sludge Generation'!$AC$15</definedName>
    <definedName name="DryPoundsRemoved">'Sludge Generation'!$Y$40</definedName>
    <definedName name="Flow">Lookup!$K$2:$K$11</definedName>
    <definedName name="fun" localSheetId="4">'[1]Treatment Efficiency'!#REF!</definedName>
    <definedName name="fun">'[1]Treatment Efficiency'!#REF!</definedName>
    <definedName name="Influent_Load">'Sludge Generation'!$S$19</definedName>
    <definedName name="Influent_Load_Expected">'Sludge Generation'!$S$21</definedName>
    <definedName name="Length">Lookup!$O$2:$O$10</definedName>
    <definedName name="Mass">Lookup!$AG$2:$AG$9</definedName>
    <definedName name="PopBOD5Removed">'Sludge Generation'!$Q$37</definedName>
    <definedName name="PopDailySludge">'Sludge Generation'!$S$49</definedName>
    <definedName name="PopDigestedSolids">'Sludge Generation'!$S$52</definedName>
    <definedName name="Population">'Sludge Generation'!$M$17</definedName>
    <definedName name="Power">Lookup!$Y$2:$Y$9</definedName>
    <definedName name="Pressure">Lookup!$AC$2:$AC$8</definedName>
    <definedName name="_xlnm.Print_Area" localSheetId="5">'Sludge Generation'!$A$1:$AE$69</definedName>
    <definedName name="Select_Type_of_Conversion">'Unit Conversion'!$K$1:$K$10</definedName>
    <definedName name="Temperature">Lookup!$Q$2:$Q$5</definedName>
    <definedName name="Time">Lookup!$U$2:$U$9</definedName>
    <definedName name="Treatment_Factor">'Sludge Generation'!$AC$13</definedName>
    <definedName name="Treatment_Type">[2]Sheet1!$AN$1:$AN$8</definedName>
    <definedName name="TypeofDigestion">'Sludge Generation'!$AP$1:$AP$9</definedName>
    <definedName name="TypeofTreatment">'Sludge Generation'!$AN$1:$AN$8</definedName>
    <definedName name="Volume">Lookup!$G$2:$G$13</definedName>
  </definedNames>
  <calcPr calcId="145621"/>
</workbook>
</file>

<file path=xl/calcChain.xml><?xml version="1.0" encoding="utf-8"?>
<calcChain xmlns="http://schemas.openxmlformats.org/spreadsheetml/2006/main">
  <c r="S64" i="9" l="1"/>
  <c r="D64" i="9"/>
  <c r="AC13" i="9"/>
  <c r="S47" i="9" s="1"/>
  <c r="S66" i="9"/>
  <c r="D66" i="9"/>
  <c r="S62" i="9"/>
  <c r="Y40" i="9"/>
  <c r="D56" i="9" s="1"/>
  <c r="Q31" i="9"/>
  <c r="Q28" i="9"/>
  <c r="Q34" i="9" s="1"/>
  <c r="V26" i="9"/>
  <c r="S21" i="9"/>
  <c r="AC15" i="9"/>
  <c r="S50" i="9" s="1"/>
  <c r="G6" i="8"/>
  <c r="F6" i="8"/>
  <c r="H6" i="6"/>
  <c r="G6" i="6"/>
  <c r="F6" i="6"/>
  <c r="E6" i="6"/>
  <c r="S56" i="9" l="1"/>
  <c r="Q37" i="9"/>
  <c r="S49" i="9" s="1"/>
  <c r="S52" i="9" s="1"/>
  <c r="S55" i="9" s="1"/>
  <c r="D49" i="9"/>
  <c r="D52" i="9" s="1"/>
  <c r="D55" i="9" s="1"/>
  <c r="D68" i="9" s="1"/>
  <c r="S23" i="9"/>
  <c r="D47" i="9"/>
  <c r="D50" i="9"/>
  <c r="D46" i="9"/>
  <c r="H6" i="8"/>
  <c r="H22" i="3" a="1"/>
  <c r="H22" i="3" s="1"/>
  <c r="H14" i="3" a="1"/>
  <c r="H14" i="3" s="1"/>
  <c r="H16" i="3" a="1"/>
  <c r="H16" i="3" s="1"/>
  <c r="H20" i="3" a="1"/>
  <c r="H20" i="3" s="1"/>
  <c r="H12" i="3" a="1"/>
  <c r="H12" i="3" s="1"/>
  <c r="S46" i="9" l="1"/>
  <c r="D59" i="9"/>
  <c r="D57" i="9"/>
  <c r="S68" i="9"/>
  <c r="S57" i="9"/>
  <c r="S59" i="9"/>
  <c r="H6" i="3" a="1"/>
  <c r="H6" i="3" s="1"/>
  <c r="H10" i="3" a="1"/>
  <c r="H10" i="3" s="1"/>
  <c r="H8" i="3" a="1"/>
  <c r="H8" i="3" s="1"/>
  <c r="D6" i="3" l="1"/>
  <c r="I22" i="3" s="1"/>
  <c r="I14" i="3" l="1"/>
  <c r="I16" i="3"/>
  <c r="I20" i="3"/>
  <c r="I18" i="3"/>
  <c r="I12" i="3"/>
  <c r="I10" i="3"/>
  <c r="I6" i="3"/>
  <c r="I8" i="3"/>
  <c r="I24" i="3" l="1"/>
  <c r="B3" i="5" s="1"/>
  <c r="B19" i="5" s="1"/>
  <c r="B10" i="5" l="1"/>
  <c r="C10" i="5" s="1"/>
  <c r="B16" i="5"/>
  <c r="C16" i="5" s="1"/>
  <c r="B21" i="5"/>
  <c r="C21" i="5" s="1"/>
  <c r="D21" i="5" s="1"/>
  <c r="B22" i="5"/>
  <c r="C22" i="5" s="1"/>
  <c r="B12" i="5"/>
  <c r="C12" i="5" s="1"/>
  <c r="B17" i="5"/>
  <c r="C17" i="5" s="1"/>
  <c r="B18" i="5"/>
  <c r="C18" i="5" s="1"/>
  <c r="D18" i="5" s="1"/>
  <c r="B7" i="5"/>
  <c r="B13" i="5"/>
  <c r="C13" i="5" s="1"/>
  <c r="B15" i="5"/>
  <c r="C15" i="5" s="1"/>
  <c r="B14" i="5"/>
  <c r="C14" i="5" s="1"/>
  <c r="B20" i="5"/>
  <c r="C19" i="5"/>
  <c r="D19" i="5" s="1"/>
  <c r="B6" i="5"/>
  <c r="B4" i="5"/>
  <c r="B11" i="5"/>
  <c r="C11" i="5" s="1"/>
  <c r="D22" i="5" l="1"/>
  <c r="D17" i="5"/>
  <c r="D11" i="5"/>
  <c r="D14" i="5"/>
  <c r="D12" i="5"/>
  <c r="D16" i="5"/>
  <c r="D10" i="5"/>
  <c r="C20" i="5"/>
  <c r="D20" i="5" s="1"/>
  <c r="D15" i="5"/>
  <c r="D13" i="5"/>
  <c r="C23" i="5" l="1"/>
  <c r="D23" i="5"/>
  <c r="C24" i="5" l="1"/>
  <c r="E6" i="3" s="1"/>
</calcChain>
</file>

<file path=xl/sharedStrings.xml><?xml version="1.0" encoding="utf-8"?>
<sst xmlns="http://schemas.openxmlformats.org/spreadsheetml/2006/main" count="1509" uniqueCount="241">
  <si>
    <t>Hectares</t>
  </si>
  <si>
    <t>Value</t>
  </si>
  <si>
    <t>Converts To</t>
  </si>
  <si>
    <t>Acres</t>
  </si>
  <si>
    <t>Select Unit of Measurement 1</t>
  </si>
  <si>
    <t>Select Unit of Measurement 2</t>
  </si>
  <si>
    <t>Area_1</t>
  </si>
  <si>
    <t>Area_2</t>
  </si>
  <si>
    <t>Area</t>
  </si>
  <si>
    <t>Result</t>
  </si>
  <si>
    <t>Significant Figures</t>
  </si>
  <si>
    <t>Decimal</t>
  </si>
  <si>
    <t>1st Digit Zero?</t>
  </si>
  <si>
    <t>Last Digit Zero?</t>
  </si>
  <si>
    <t>Non-Zero SFs</t>
  </si>
  <si>
    <t>Zero SFs</t>
  </si>
  <si>
    <t>Digit 1</t>
  </si>
  <si>
    <t>Digit 2</t>
  </si>
  <si>
    <t>Digit 3</t>
  </si>
  <si>
    <t>Digit 4</t>
  </si>
  <si>
    <t>Digit 5</t>
  </si>
  <si>
    <t>Digit 6</t>
  </si>
  <si>
    <t>Digit 7</t>
  </si>
  <si>
    <t>Digit 8</t>
  </si>
  <si>
    <t>Digit 9</t>
  </si>
  <si>
    <t>Digit 10</t>
  </si>
  <si>
    <t>Digit 11</t>
  </si>
  <si>
    <t>Digit 12</t>
  </si>
  <si>
    <t>Digit 13</t>
  </si>
  <si>
    <t>Total SFs:</t>
  </si>
  <si>
    <t>Rules:</t>
  </si>
  <si>
    <t>1) ALL non-zero numbers (1,2,3,4,5,6,7,8,9) are ALWAYS significant.</t>
  </si>
  <si>
    <t>2) ALL zeroes between non-zero numbers are ALWAYS significant.</t>
  </si>
  <si>
    <t>3) ALL zeroes which are SIMULTANEOUSLY to the right of the decimal point AND at the end of the number are ALWAYS significant.</t>
  </si>
  <si>
    <t>4) ALL zeroes which are to the left of a written decimal point and are in a number &gt;= 10 are ALWAYS significant.</t>
  </si>
  <si>
    <t>Volume</t>
  </si>
  <si>
    <t>Square Centimeters</t>
  </si>
  <si>
    <t>Volume_1</t>
  </si>
  <si>
    <t>Volume_2</t>
  </si>
  <si>
    <t>Gallons</t>
  </si>
  <si>
    <t>Cubic Centimeters</t>
  </si>
  <si>
    <t>Cubic Feet</t>
  </si>
  <si>
    <t>Cubic Inches</t>
  </si>
  <si>
    <t>Cubic Yards</t>
  </si>
  <si>
    <t>Acre-Feet</t>
  </si>
  <si>
    <t>Cubic Meters</t>
  </si>
  <si>
    <t>Liters</t>
  </si>
  <si>
    <t>Milliliters</t>
  </si>
  <si>
    <t>Ounces</t>
  </si>
  <si>
    <t>Pints</t>
  </si>
  <si>
    <t>Quarts</t>
  </si>
  <si>
    <t>Temperature</t>
  </si>
  <si>
    <t>Length</t>
  </si>
  <si>
    <t>Flow</t>
  </si>
  <si>
    <t>Pressure</t>
  </si>
  <si>
    <t>Power</t>
  </si>
  <si>
    <t>Time</t>
  </si>
  <si>
    <t>Unit Conversions</t>
  </si>
  <si>
    <t>Click Here to Select Type of Conversion</t>
  </si>
  <si>
    <t>Square Feet</t>
  </si>
  <si>
    <t>Square Inches</t>
  </si>
  <si>
    <t>Square Kilometers</t>
  </si>
  <si>
    <t>Square Meters</t>
  </si>
  <si>
    <t>Square Miles</t>
  </si>
  <si>
    <t>Square Yards</t>
  </si>
  <si>
    <t>Area Lookup</t>
  </si>
  <si>
    <t>Volume Lookup</t>
  </si>
  <si>
    <t>Flow Lookup</t>
  </si>
  <si>
    <t>Length Lookup</t>
  </si>
  <si>
    <t>Power Lookup</t>
  </si>
  <si>
    <t>Pressure Lookup</t>
  </si>
  <si>
    <t>Temperature Lookup</t>
  </si>
  <si>
    <t>Time Lookup</t>
  </si>
  <si>
    <t>Use Result</t>
  </si>
  <si>
    <t>Flow_1</t>
  </si>
  <si>
    <t>Flow_2</t>
  </si>
  <si>
    <t>Gallons/Day</t>
  </si>
  <si>
    <t>Gallons/Minute</t>
  </si>
  <si>
    <t>Gallons/Second</t>
  </si>
  <si>
    <t>Million Gallons/Day</t>
  </si>
  <si>
    <t>Cubic Feet/Day</t>
  </si>
  <si>
    <t>Cubic Feet/Minute</t>
  </si>
  <si>
    <t>Cubic Feet/Second</t>
  </si>
  <si>
    <t>Liters/Day</t>
  </si>
  <si>
    <t>Liters/Minute</t>
  </si>
  <si>
    <t>Liters/Second</t>
  </si>
  <si>
    <t>Enter Value</t>
  </si>
  <si>
    <t>Length_1</t>
  </si>
  <si>
    <t>Length_2</t>
  </si>
  <si>
    <t>Miles</t>
  </si>
  <si>
    <t>Feet</t>
  </si>
  <si>
    <t>Centimeters</t>
  </si>
  <si>
    <t>Millimeters</t>
  </si>
  <si>
    <t>Kilometers</t>
  </si>
  <si>
    <t>Meters</t>
  </si>
  <si>
    <t>Inches</t>
  </si>
  <si>
    <t>Yards</t>
  </si>
  <si>
    <t>Furlongs</t>
  </si>
  <si>
    <t>Degrees Fahrenheit</t>
  </si>
  <si>
    <t>Degrees Celsius</t>
  </si>
  <si>
    <t>Degrees Kelvin</t>
  </si>
  <si>
    <t>Degrees Rankine</t>
  </si>
  <si>
    <t>Temp</t>
  </si>
  <si>
    <t>Time_1</t>
  </si>
  <si>
    <t>Time_2</t>
  </si>
  <si>
    <t>Milliseconds</t>
  </si>
  <si>
    <t>Seconds</t>
  </si>
  <si>
    <t>Minutes</t>
  </si>
  <si>
    <t>Hours</t>
  </si>
  <si>
    <t>Days</t>
  </si>
  <si>
    <t>Weeks</t>
  </si>
  <si>
    <t>Months</t>
  </si>
  <si>
    <t>Years</t>
  </si>
  <si>
    <t>Power_1</t>
  </si>
  <si>
    <t>Power_2</t>
  </si>
  <si>
    <t>Foot-Pound/Minute</t>
  </si>
  <si>
    <t>BTU/Minute</t>
  </si>
  <si>
    <t>BTU/Hour</t>
  </si>
  <si>
    <t>Foot-Pound/Second</t>
  </si>
  <si>
    <t>Horsepower</t>
  </si>
  <si>
    <t>Watt</t>
  </si>
  <si>
    <t>Kilowatt</t>
  </si>
  <si>
    <t>Megawatt</t>
  </si>
  <si>
    <t>Watts</t>
  </si>
  <si>
    <t>Kilowatts</t>
  </si>
  <si>
    <t>Megawatts</t>
  </si>
  <si>
    <t>Pressure_1</t>
  </si>
  <si>
    <t>Pressure_2</t>
  </si>
  <si>
    <t>Millimeters Hg at 0 Degrees C</t>
  </si>
  <si>
    <t>Inches Hg at 32 Degrees F</t>
  </si>
  <si>
    <t>Pounds/Square Inch</t>
  </si>
  <si>
    <t>Bars</t>
  </si>
  <si>
    <t>Pascals</t>
  </si>
  <si>
    <t>Atmospheres</t>
  </si>
  <si>
    <t>Torrs</t>
  </si>
  <si>
    <t>Weight_1</t>
  </si>
  <si>
    <t>Weight_2</t>
  </si>
  <si>
    <t>Grams</t>
  </si>
  <si>
    <t>Milligrams</t>
  </si>
  <si>
    <t>Kilograms</t>
  </si>
  <si>
    <t>Grains</t>
  </si>
  <si>
    <t>Pounds</t>
  </si>
  <si>
    <t>Tons</t>
  </si>
  <si>
    <t>Metric Tons</t>
  </si>
  <si>
    <t>Mass Lookup</t>
  </si>
  <si>
    <t>Mass</t>
  </si>
  <si>
    <t>Treatment Unit Efficiency</t>
  </si>
  <si>
    <t>Influent Flow (MGD)</t>
  </si>
  <si>
    <t>Influent Concentration (mg/L)</t>
  </si>
  <si>
    <t>Effluent Concentration (mg/L)</t>
  </si>
  <si>
    <t>Influent Mass Entering Treatment Unit (lbs)</t>
  </si>
  <si>
    <t>Effluent Mass Leaving Treatment Unit (lbs)</t>
  </si>
  <si>
    <t>Mass Removed by Treatment Unit (lbs)</t>
  </si>
  <si>
    <t>Removal Efficiency</t>
  </si>
  <si>
    <t>F:M Ratio</t>
  </si>
  <si>
    <t>Enter Influent Flow (MGD), Influent Concentration (mg/L) and Effluent Concentration (mg/L) for any parameter</t>
  </si>
  <si>
    <t>Food to Microorganism (F:M) Ratio</t>
  </si>
  <si>
    <t>Influent CBOD Concentration (mg/L)</t>
  </si>
  <si>
    <t>Volume of Aeration System (gallons)</t>
  </si>
  <si>
    <t>Mixed Liquor Volatile Suspended Solids (MLVSS) (mg/L)</t>
  </si>
  <si>
    <t>Pounds of Food (F) Entering Aeration (lbs)</t>
  </si>
  <si>
    <t>Pounds of Volatile Solids Under Aeration (lbs)</t>
  </si>
  <si>
    <t>Enter Influent Flow (MGD), Influent CBOD Concentration (mg/L), Volume of Aeration System (gallons), and MLVSS (mg/L)</t>
  </si>
  <si>
    <t>Read More -</t>
  </si>
  <si>
    <t>BOD5</t>
  </si>
  <si>
    <t>Extended Aeration</t>
  </si>
  <si>
    <t>No Digestion</t>
  </si>
  <si>
    <t>CBOD5</t>
  </si>
  <si>
    <t>Conventional Activated Sludge</t>
  </si>
  <si>
    <t>Aerobic Digestion, HDT = 10 Days</t>
  </si>
  <si>
    <t>Activated Sludge with Primary Clarification</t>
  </si>
  <si>
    <t>Aerobic Digestion, HDT = 15</t>
  </si>
  <si>
    <t>Sequencing Batch Reactor</t>
  </si>
  <si>
    <t>Aerobic Digestion, HDT = 20</t>
  </si>
  <si>
    <t>Oxidation Ditch</t>
  </si>
  <si>
    <t>Aerobic Digestion, HDT= &gt;30</t>
  </si>
  <si>
    <t>Contact Stabilization</t>
  </si>
  <si>
    <t>Aerobic Thermophilic</t>
  </si>
  <si>
    <t>Facility Name:</t>
  </si>
  <si>
    <t>Permit No.:</t>
  </si>
  <si>
    <t>Trickling Filter</t>
  </si>
  <si>
    <t>Anaerobic Digestion, HDT = 20</t>
  </si>
  <si>
    <t>Enter Date</t>
  </si>
  <si>
    <t>Rotating Biological Contactor</t>
  </si>
  <si>
    <t>Anaerobic Digestion, HDT = 30</t>
  </si>
  <si>
    <t>Evaluation Period:</t>
  </si>
  <si>
    <t>to</t>
  </si>
  <si>
    <t>Anaerobic Digestion, HDT = 40</t>
  </si>
  <si>
    <t>Design Flow:</t>
  </si>
  <si>
    <t>MGD</t>
  </si>
  <si>
    <t>Actual Annual Average Flow:</t>
  </si>
  <si>
    <t>Type of Biological Treatment Process:</t>
  </si>
  <si>
    <t>Treatment Factor:</t>
  </si>
  <si>
    <t>Type of Digestion Process:</t>
  </si>
  <si>
    <t>Digestion Factor:</t>
  </si>
  <si>
    <t>Total Population Served by Treatment Plant:</t>
  </si>
  <si>
    <t>Average Annual Influent BOD5 Load (per Ch. 94 Report):</t>
  </si>
  <si>
    <t>lbs/day</t>
  </si>
  <si>
    <t>Average Annual Influent BOD5 Load (Expected based on Population):</t>
  </si>
  <si>
    <t>(Population x 0.17)</t>
  </si>
  <si>
    <t>% of Influent BOD5 Load per Ch. 94 Report / Influent Load Expected:</t>
  </si>
  <si>
    <t>(Influent Load per Ch. 94 Report / Influent Load based on Population)</t>
  </si>
  <si>
    <t>Average Annual Effluent Concentration of</t>
  </si>
  <si>
    <t>:</t>
  </si>
  <si>
    <t>mg/L</t>
  </si>
  <si>
    <t>Average Annual Pounds (lbs) of BOD5 Discharged:</t>
  </si>
  <si>
    <t>(Actual Flow x Effluent BOD5 Concentration x 8.34)</t>
  </si>
  <si>
    <t>Influent BOD5 Load per Person per Day (based on Ch. 94):</t>
  </si>
  <si>
    <t>(Influent BOD5 Load per Ch. 94 Report / Population - 0.17 to 0.22 is typical)</t>
  </si>
  <si>
    <t>Pounds of BOD5 Removed (based on Ch. 94):</t>
  </si>
  <si>
    <t>(Influent BOD5 Load per Ch. 94 Report - BOD5 Discharged)</t>
  </si>
  <si>
    <t>Pounds of BOD5 Removed (based on Population):</t>
  </si>
  <si>
    <t>(Influent BOD5 Load Expected based on Population - BOD5 Discharged)</t>
  </si>
  <si>
    <t>Sludge Removed from Treatment Plant (Previous Year):</t>
  </si>
  <si>
    <t>Dry Tons</t>
  </si>
  <si>
    <t>=</t>
  </si>
  <si>
    <t>Dry lbs</t>
  </si>
  <si>
    <t>Sludge Production and Wasting Calculations</t>
  </si>
  <si>
    <t>Based on Chapter 94 Report</t>
  </si>
  <si>
    <t>Based on Population</t>
  </si>
  <si>
    <t>BOD5 Removed / Day (lbs)</t>
  </si>
  <si>
    <t>X</t>
  </si>
  <si>
    <t>Treatment Factor</t>
  </si>
  <si>
    <t>Daily Solids Production (lbs)</t>
  </si>
  <si>
    <t>Digestion Factor</t>
  </si>
  <si>
    <t>Daily Digested Solids (lbs)</t>
  </si>
  <si>
    <t>Days per Year</t>
  </si>
  <si>
    <t>Solids Generated / Year (lbs)</t>
  </si>
  <si>
    <t xml:space="preserve"> -</t>
  </si>
  <si>
    <t>Solids Actually Wasted / Year (lbs)</t>
  </si>
  <si>
    <t>Difference (lbs)</t>
  </si>
  <si>
    <t>% of Expected Volume Wasted</t>
  </si>
  <si>
    <t>Percent Solids of Wasted Solids</t>
  </si>
  <si>
    <t>Percent Solids of Removed Solids</t>
  </si>
  <si>
    <t>Volume of Solids to Remove Annually (gallons)</t>
  </si>
  <si>
    <t>Volume of Solids Actually Removed Annually (gallons)</t>
  </si>
  <si>
    <t>Difference (gallons)</t>
  </si>
  <si>
    <t>Solids Management (Sludge) Calculator</t>
  </si>
  <si>
    <t xml:space="preserve"> </t>
  </si>
  <si>
    <t>(85 - 115% is generally acceptable)</t>
  </si>
  <si>
    <t>This worksheet calculates the expected sludge volume that should be produced by various treatment processes over a one-year period.  Enter data into green cells - hit the Tab key to move between cells.  Red cells are calculated.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</si>
</sst>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"/>
    <numFmt numFmtId="165" formatCode="#,##0.0"/>
    <numFmt numFmtId="166" formatCode="0.0%"/>
    <numFmt numFmtId="167" formatCode="0.000"/>
  </numFmts>
  <fonts count="37" x14ac:knownFonts="1">
    <font>
      <sz val="10"/>
      <color theme="3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8"/>
      <color theme="6" tint="-0.499984740745262"/>
      <name val="Calibri"/>
      <family val="2"/>
      <scheme val="minor"/>
    </font>
    <font>
      <sz val="22"/>
      <color theme="3"/>
      <name val="Calibri"/>
      <family val="2"/>
      <scheme val="minor"/>
    </font>
    <font>
      <sz val="8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0"/>
      <name val="Calibri"/>
      <family val="2"/>
      <scheme val="major"/>
    </font>
    <font>
      <b/>
      <sz val="34"/>
      <color theme="1" tint="0.24994659260841701"/>
      <name val="Calibri"/>
      <family val="2"/>
      <scheme val="minor"/>
    </font>
    <font>
      <b/>
      <sz val="10"/>
      <color theme="1" tint="0.24994659260841701"/>
      <name val="Calibri"/>
      <family val="2"/>
      <scheme val="minor"/>
    </font>
    <font>
      <b/>
      <sz val="10"/>
      <color theme="3"/>
      <name val="Calibri"/>
      <family val="1"/>
      <scheme val="major"/>
    </font>
    <font>
      <b/>
      <sz val="13"/>
      <color theme="3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theme="0"/>
      <name val="Calibri"/>
      <family val="2"/>
      <scheme val="major"/>
    </font>
    <font>
      <b/>
      <sz val="20"/>
      <color rgb="FF00B050"/>
      <name val="Calibri"/>
      <family val="2"/>
      <scheme val="major"/>
    </font>
    <font>
      <sz val="11"/>
      <name val="Calibri"/>
      <family val="2"/>
    </font>
    <font>
      <sz val="11"/>
      <name val="Calibri"/>
      <family val="2"/>
      <scheme val="major"/>
    </font>
    <font>
      <b/>
      <i/>
      <sz val="14"/>
      <color theme="3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b/>
      <sz val="11"/>
      <color indexed="10"/>
      <name val="Arial"/>
      <family val="2"/>
    </font>
    <font>
      <u/>
      <sz val="11"/>
      <name val="Calibri"/>
      <family val="2"/>
      <scheme val="major"/>
    </font>
    <font>
      <b/>
      <sz val="20"/>
      <color theme="5"/>
      <name val="Calibri"/>
      <family val="2"/>
      <scheme val="major"/>
    </font>
    <font>
      <b/>
      <i/>
      <sz val="10"/>
      <color theme="3"/>
      <name val="Calibri"/>
      <family val="2"/>
      <scheme val="minor"/>
    </font>
    <font>
      <b/>
      <sz val="20"/>
      <color theme="6"/>
      <name val="Calibri"/>
      <family val="2"/>
      <scheme val="major"/>
    </font>
    <font>
      <sz val="11"/>
      <color theme="3"/>
      <name val="Calibri"/>
      <family val="2"/>
      <scheme val="minor"/>
    </font>
    <font>
      <i/>
      <sz val="11"/>
      <color theme="3"/>
      <name val="Calibri"/>
      <family val="2"/>
      <scheme val="minor"/>
    </font>
    <font>
      <sz val="10"/>
      <color theme="3"/>
      <name val="Calibri"/>
      <family val="2"/>
      <scheme val="minor"/>
    </font>
    <font>
      <i/>
      <sz val="10"/>
      <color theme="0" tint="-0.499984740745262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20"/>
      <color rgb="FFFF0000"/>
      <name val="Calibri"/>
      <family val="2"/>
      <scheme val="major"/>
    </font>
  </fonts>
  <fills count="7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0000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thin">
        <color theme="0" tint="-0.14996795556505021"/>
      </bottom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/>
      <right style="thin">
        <color rgb="FF00B050"/>
      </right>
      <top style="thin">
        <color rgb="FF00B050"/>
      </top>
      <bottom style="thin">
        <color rgb="FF00B050"/>
      </bottom>
      <diagonal/>
    </border>
    <border>
      <left/>
      <right style="thin">
        <color theme="5"/>
      </right>
      <top/>
      <bottom style="thin">
        <color theme="5"/>
      </bottom>
      <diagonal/>
    </border>
    <border>
      <left style="thin">
        <color theme="5"/>
      </left>
      <right style="thin">
        <color theme="5"/>
      </right>
      <top/>
      <bottom style="thin">
        <color theme="5"/>
      </bottom>
      <diagonal/>
    </border>
    <border>
      <left style="thin">
        <color theme="5"/>
      </left>
      <right/>
      <top/>
      <bottom style="thin">
        <color theme="5"/>
      </bottom>
      <diagonal/>
    </border>
    <border>
      <left/>
      <right style="thin">
        <color theme="5"/>
      </right>
      <top style="thin">
        <color theme="5"/>
      </top>
      <bottom/>
      <diagonal/>
    </border>
    <border>
      <left style="thin">
        <color theme="5"/>
      </left>
      <right style="thin">
        <color theme="5"/>
      </right>
      <top style="thin">
        <color theme="5"/>
      </top>
      <bottom/>
      <diagonal/>
    </border>
    <border>
      <left style="thin">
        <color theme="5"/>
      </left>
      <right/>
      <top style="thin">
        <color theme="5"/>
      </top>
      <bottom/>
      <diagonal/>
    </border>
    <border>
      <left/>
      <right style="thin">
        <color theme="6"/>
      </right>
      <top/>
      <bottom style="thin">
        <color theme="6"/>
      </bottom>
      <diagonal/>
    </border>
    <border>
      <left style="thin">
        <color theme="6"/>
      </left>
      <right style="thin">
        <color theme="6"/>
      </right>
      <top/>
      <bottom style="thin">
        <color theme="6"/>
      </bottom>
      <diagonal/>
    </border>
    <border>
      <left style="thin">
        <color theme="6"/>
      </left>
      <right/>
      <top/>
      <bottom style="thin">
        <color theme="6"/>
      </bottom>
      <diagonal/>
    </border>
    <border>
      <left/>
      <right style="thin">
        <color theme="6"/>
      </right>
      <top style="thin">
        <color theme="6"/>
      </top>
      <bottom/>
      <diagonal/>
    </border>
    <border>
      <left style="thin">
        <color theme="6"/>
      </left>
      <right style="thin">
        <color theme="6"/>
      </right>
      <top style="thin">
        <color theme="6"/>
      </top>
      <bottom/>
      <diagonal/>
    </border>
    <border>
      <left style="thin">
        <color theme="6"/>
      </left>
      <right/>
      <top style="thin">
        <color theme="6"/>
      </top>
      <bottom/>
      <diagonal/>
    </border>
    <border>
      <left style="thin">
        <color rgb="FF00B050"/>
      </left>
      <right/>
      <top/>
      <bottom/>
      <diagonal/>
    </border>
    <border>
      <left/>
      <right style="thin">
        <color rgb="FF00B050"/>
      </right>
      <top/>
      <bottom/>
      <diagonal/>
    </border>
    <border>
      <left style="thin">
        <color rgb="FF00B050"/>
      </left>
      <right/>
      <top style="thin">
        <color rgb="FF00B050"/>
      </top>
      <bottom style="thin">
        <color rgb="FF00B050"/>
      </bottom>
      <diagonal/>
    </border>
    <border>
      <left/>
      <right/>
      <top style="thin">
        <color rgb="FF00B050"/>
      </top>
      <bottom style="thin">
        <color rgb="FF00B050"/>
      </bottom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/>
      <bottom/>
      <diagonal/>
    </border>
    <border>
      <left style="thin">
        <color rgb="FFFF0000"/>
      </left>
      <right/>
      <top style="thin">
        <color rgb="FFFF0000"/>
      </top>
      <bottom/>
      <diagonal/>
    </border>
    <border>
      <left/>
      <right/>
      <top style="thin">
        <color rgb="FFFF0000"/>
      </top>
      <bottom/>
      <diagonal/>
    </border>
    <border>
      <left/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/>
      <top/>
      <bottom style="thin">
        <color rgb="FFFF0000"/>
      </bottom>
      <diagonal/>
    </border>
    <border>
      <left/>
      <right/>
      <top/>
      <bottom style="thin">
        <color rgb="FFFF0000"/>
      </bottom>
      <diagonal/>
    </border>
    <border>
      <left/>
      <right style="thin">
        <color rgb="FFFF0000"/>
      </right>
      <top/>
      <bottom style="thin">
        <color rgb="FFFF0000"/>
      </bottom>
      <diagonal/>
    </border>
    <border>
      <left style="thin">
        <color rgb="FFFF0000"/>
      </left>
      <right/>
      <top/>
      <bottom/>
      <diagonal/>
    </border>
    <border>
      <left style="thin">
        <color rgb="FFFF0000"/>
      </left>
      <right/>
      <top style="thin">
        <color rgb="FFFF0000"/>
      </top>
      <bottom style="thick">
        <color rgb="FFFF0000"/>
      </bottom>
      <diagonal/>
    </border>
    <border>
      <left/>
      <right/>
      <top style="thin">
        <color rgb="FFFF0000"/>
      </top>
      <bottom style="thick">
        <color rgb="FFFF0000"/>
      </bottom>
      <diagonal/>
    </border>
    <border>
      <left/>
      <right style="thin">
        <color rgb="FFFF0000"/>
      </right>
      <top style="thin">
        <color rgb="FFFF0000"/>
      </top>
      <bottom style="thick">
        <color rgb="FFFF0000"/>
      </bottom>
      <diagonal/>
    </border>
    <border>
      <left style="thin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n">
        <color rgb="FFFF0000"/>
      </right>
      <top/>
      <bottom style="thick">
        <color rgb="FFFF0000"/>
      </bottom>
      <diagonal/>
    </border>
    <border>
      <left style="thin">
        <color rgb="FFFF0000"/>
      </left>
      <right style="thin">
        <color rgb="FFFF0000"/>
      </right>
      <top/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</borders>
  <cellStyleXfs count="15">
    <xf numFmtId="0" fontId="0" fillId="0" borderId="0">
      <alignment horizontal="left" vertical="center" indent="1"/>
    </xf>
    <xf numFmtId="0" fontId="2" fillId="0" borderId="0" applyNumberFormat="0" applyFill="0" applyBorder="0" applyAlignment="0" applyProtection="0"/>
    <xf numFmtId="0" fontId="3" fillId="0" borderId="0" applyNumberFormat="0" applyProtection="0">
      <alignment horizontal="left" indent="1"/>
    </xf>
    <xf numFmtId="0" fontId="7" fillId="0" borderId="0" applyNumberFormat="0" applyFill="0" applyProtection="0">
      <alignment horizontal="left" vertical="center" indent="1"/>
    </xf>
    <xf numFmtId="0" fontId="5" fillId="0" borderId="0" applyNumberFormat="0" applyProtection="0">
      <alignment horizontal="left" vertical="center"/>
    </xf>
    <xf numFmtId="0" fontId="4" fillId="0" borderId="1">
      <alignment horizontal="left" vertical="center"/>
    </xf>
    <xf numFmtId="0" fontId="1" fillId="0" borderId="0"/>
    <xf numFmtId="0" fontId="6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>
      <alignment vertical="center"/>
    </xf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4" fillId="2" borderId="2" applyNumberFormat="0" applyAlignment="0" applyProtection="0"/>
    <xf numFmtId="0" fontId="21" fillId="0" borderId="0"/>
    <xf numFmtId="9" fontId="31" fillId="0" borderId="0" applyFont="0" applyFill="0" applyBorder="0" applyAlignment="0" applyProtection="0"/>
  </cellStyleXfs>
  <cellXfs count="167">
    <xf numFmtId="0" fontId="0" fillId="0" borderId="0" xfId="0">
      <alignment horizontal="left" vertical="center" indent="1"/>
    </xf>
    <xf numFmtId="0" fontId="0" fillId="0" borderId="0" xfId="0" applyAlignment="1">
      <alignment horizontal="left" vertical="center" indent="1"/>
    </xf>
    <xf numFmtId="0" fontId="12" fillId="0" borderId="0" xfId="0" applyFont="1" applyAlignment="1">
      <alignment horizontal="left" vertical="center" indent="1"/>
    </xf>
    <xf numFmtId="0" fontId="13" fillId="0" borderId="0" xfId="0" applyFont="1" applyAlignment="1">
      <alignment horizontal="left" vertical="center"/>
    </xf>
    <xf numFmtId="0" fontId="0" fillId="0" borderId="0" xfId="0" applyBorder="1" applyAlignment="1">
      <alignment horizontal="left" vertical="center" indent="1"/>
    </xf>
    <xf numFmtId="0" fontId="16" fillId="0" borderId="0" xfId="2" applyFont="1" applyBorder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2" fillId="0" borderId="0" xfId="13" applyFont="1"/>
    <xf numFmtId="0" fontId="21" fillId="0" borderId="0" xfId="13"/>
    <xf numFmtId="0" fontId="22" fillId="0" borderId="0" xfId="13" applyFont="1" applyAlignment="1">
      <alignment horizontal="center"/>
    </xf>
    <xf numFmtId="0" fontId="21" fillId="0" borderId="0" xfId="13" applyAlignment="1">
      <alignment horizontal="center"/>
    </xf>
    <xf numFmtId="0" fontId="23" fillId="0" borderId="0" xfId="13" applyFont="1"/>
    <xf numFmtId="0" fontId="24" fillId="0" borderId="0" xfId="13" applyFont="1" applyAlignment="1">
      <alignment horizontal="center"/>
    </xf>
    <xf numFmtId="0" fontId="21" fillId="0" borderId="0" xfId="13" applyAlignment="1">
      <alignment horizontal="left" indent="1"/>
    </xf>
    <xf numFmtId="0" fontId="25" fillId="0" borderId="0" xfId="0" applyFont="1" applyAlignment="1">
      <alignment horizontal="left" vertical="center"/>
    </xf>
    <xf numFmtId="0" fontId="19" fillId="0" borderId="0" xfId="0" applyFont="1" applyBorder="1" applyAlignment="1">
      <alignment vertical="center"/>
    </xf>
    <xf numFmtId="0" fontId="0" fillId="4" borderId="0" xfId="0" applyFill="1" applyAlignment="1">
      <alignment horizontal="left" vertical="center" indent="1"/>
    </xf>
    <xf numFmtId="0" fontId="12" fillId="4" borderId="7" xfId="0" applyNumberFormat="1" applyFont="1" applyFill="1" applyBorder="1" applyAlignment="1" applyProtection="1">
      <alignment horizontal="center" vertical="center"/>
      <protection locked="0"/>
    </xf>
    <xf numFmtId="0" fontId="12" fillId="4" borderId="8" xfId="0" applyFont="1" applyFill="1" applyBorder="1" applyAlignment="1" applyProtection="1">
      <alignment horizontal="center" vertical="center"/>
      <protection locked="0"/>
    </xf>
    <xf numFmtId="164" fontId="12" fillId="4" borderId="8" xfId="1" applyNumberFormat="1" applyFont="1" applyFill="1" applyBorder="1" applyAlignment="1" applyProtection="1">
      <alignment horizontal="center" vertical="center"/>
    </xf>
    <xf numFmtId="0" fontId="0" fillId="4" borderId="0" xfId="0" applyFill="1">
      <alignment horizontal="left" vertical="center" indent="1"/>
    </xf>
    <xf numFmtId="0" fontId="0" fillId="4" borderId="0" xfId="0" applyFill="1" applyAlignment="1" applyProtection="1">
      <alignment horizontal="left" vertical="center" indent="1"/>
    </xf>
    <xf numFmtId="0" fontId="0" fillId="4" borderId="0" xfId="0" applyFill="1" applyBorder="1" applyAlignment="1" applyProtection="1">
      <alignment horizontal="left" vertical="center" indent="1"/>
    </xf>
    <xf numFmtId="0" fontId="0" fillId="4" borderId="0" xfId="0" applyFill="1" applyProtection="1">
      <alignment horizontal="left" vertical="center" indent="1"/>
    </xf>
    <xf numFmtId="0" fontId="26" fillId="4" borderId="0" xfId="2" applyFont="1" applyFill="1" applyBorder="1" applyAlignment="1" applyProtection="1">
      <alignment horizontal="left" vertical="center"/>
    </xf>
    <xf numFmtId="0" fontId="16" fillId="4" borderId="0" xfId="2" applyFont="1" applyFill="1" applyBorder="1" applyAlignment="1" applyProtection="1">
      <alignment horizontal="left" vertical="center"/>
    </xf>
    <xf numFmtId="0" fontId="15" fillId="3" borderId="4" xfId="3" applyFont="1" applyFill="1" applyBorder="1" applyAlignment="1" applyProtection="1">
      <alignment horizontal="center" vertical="center" wrapText="1"/>
    </xf>
    <xf numFmtId="0" fontId="15" fillId="3" borderId="5" xfId="3" applyFont="1" applyFill="1" applyBorder="1" applyAlignment="1" applyProtection="1">
      <alignment horizontal="center" vertical="center" wrapText="1"/>
    </xf>
    <xf numFmtId="0" fontId="15" fillId="3" borderId="6" xfId="3" applyFont="1" applyFill="1" applyBorder="1" applyAlignment="1" applyProtection="1">
      <alignment horizontal="center" vertical="center" wrapText="1"/>
    </xf>
    <xf numFmtId="165" fontId="12" fillId="4" borderId="8" xfId="1" applyNumberFormat="1" applyFont="1" applyFill="1" applyBorder="1" applyAlignment="1" applyProtection="1">
      <alignment horizontal="center" vertical="center"/>
    </xf>
    <xf numFmtId="9" fontId="12" fillId="4" borderId="9" xfId="1" applyNumberFormat="1" applyFont="1" applyFill="1" applyBorder="1" applyAlignment="1" applyProtection="1">
      <alignment horizontal="center" vertical="center"/>
    </xf>
    <xf numFmtId="0" fontId="28" fillId="4" borderId="0" xfId="2" applyFont="1" applyFill="1" applyBorder="1" applyAlignment="1" applyProtection="1">
      <alignment horizontal="left" vertical="center"/>
    </xf>
    <xf numFmtId="0" fontId="15" fillId="5" borderId="10" xfId="3" applyFont="1" applyFill="1" applyBorder="1" applyAlignment="1" applyProtection="1">
      <alignment horizontal="center" vertical="center" wrapText="1"/>
    </xf>
    <xf numFmtId="0" fontId="15" fillId="5" borderId="11" xfId="3" applyFont="1" applyFill="1" applyBorder="1" applyAlignment="1" applyProtection="1">
      <alignment horizontal="center" vertical="center" wrapText="1"/>
    </xf>
    <xf numFmtId="0" fontId="15" fillId="5" borderId="12" xfId="3" applyFont="1" applyFill="1" applyBorder="1" applyAlignment="1" applyProtection="1">
      <alignment horizontal="center" vertical="center" wrapText="1"/>
    </xf>
    <xf numFmtId="0" fontId="12" fillId="4" borderId="13" xfId="0" applyNumberFormat="1" applyFont="1" applyFill="1" applyBorder="1" applyAlignment="1" applyProtection="1">
      <alignment horizontal="center" vertical="center"/>
      <protection locked="0"/>
    </xf>
    <xf numFmtId="0" fontId="12" fillId="4" borderId="14" xfId="0" applyFont="1" applyFill="1" applyBorder="1" applyAlignment="1" applyProtection="1">
      <alignment horizontal="center" vertical="center"/>
      <protection locked="0"/>
    </xf>
    <xf numFmtId="165" fontId="12" fillId="4" borderId="14" xfId="1" applyNumberFormat="1" applyFont="1" applyFill="1" applyBorder="1" applyAlignment="1" applyProtection="1">
      <alignment horizontal="center" vertical="center"/>
    </xf>
    <xf numFmtId="3" fontId="12" fillId="4" borderId="14" xfId="0" applyNumberFormat="1" applyFont="1" applyFill="1" applyBorder="1" applyAlignment="1" applyProtection="1">
      <alignment horizontal="center" vertical="center"/>
      <protection locked="0"/>
    </xf>
    <xf numFmtId="3" fontId="12" fillId="4" borderId="14" xfId="1" applyNumberFormat="1" applyFont="1" applyFill="1" applyBorder="1" applyAlignment="1" applyProtection="1">
      <alignment horizontal="center" vertical="center"/>
      <protection locked="0"/>
    </xf>
    <xf numFmtId="0" fontId="12" fillId="4" borderId="15" xfId="1" applyNumberFormat="1" applyFont="1" applyFill="1" applyBorder="1" applyAlignment="1" applyProtection="1">
      <alignment horizontal="center" vertical="center"/>
    </xf>
    <xf numFmtId="0" fontId="0" fillId="0" borderId="0" xfId="0" applyAlignment="1">
      <alignment vertical="center" wrapText="1"/>
    </xf>
    <xf numFmtId="0" fontId="29" fillId="0" borderId="0" xfId="0" applyFont="1" applyAlignment="1">
      <alignment vertical="center" wrapText="1"/>
    </xf>
    <xf numFmtId="0" fontId="30" fillId="4" borderId="0" xfId="0" applyFont="1" applyFill="1" applyBorder="1" applyAlignment="1" applyProtection="1">
      <alignment horizontal="left" vertical="center" indent="1"/>
    </xf>
    <xf numFmtId="0" fontId="19" fillId="0" borderId="0" xfId="0" applyFont="1" applyBorder="1" applyAlignment="1" applyProtection="1">
      <alignment horizontal="left" vertical="center"/>
      <protection locked="0"/>
    </xf>
    <xf numFmtId="0" fontId="27" fillId="4" borderId="0" xfId="0" applyFont="1" applyFill="1" applyBorder="1" applyAlignment="1" applyProtection="1">
      <alignment horizontal="left" vertical="center"/>
    </xf>
    <xf numFmtId="0" fontId="0" fillId="4" borderId="0" xfId="0" applyFill="1" applyAlignment="1">
      <alignment horizontal="center"/>
    </xf>
    <xf numFmtId="0" fontId="0" fillId="0" borderId="0" xfId="0" applyAlignment="1"/>
    <xf numFmtId="0" fontId="0" fillId="4" borderId="0" xfId="0" applyFill="1" applyBorder="1" applyAlignment="1"/>
    <xf numFmtId="0" fontId="0" fillId="4" borderId="0" xfId="0" applyFill="1" applyAlignment="1"/>
    <xf numFmtId="0" fontId="32" fillId="4" borderId="19" xfId="0" applyFont="1" applyFill="1" applyBorder="1" applyAlignment="1">
      <alignment horizontal="center"/>
    </xf>
    <xf numFmtId="0" fontId="32" fillId="4" borderId="0" xfId="0" applyFont="1" applyFill="1" applyAlignment="1">
      <alignment horizontal="center"/>
    </xf>
    <xf numFmtId="166" fontId="20" fillId="4" borderId="24" xfId="0" applyNumberFormat="1" applyFont="1" applyFill="1" applyBorder="1" applyAlignment="1">
      <alignment horizontal="center" vertical="center"/>
    </xf>
    <xf numFmtId="166" fontId="20" fillId="4" borderId="25" xfId="0" applyNumberFormat="1" applyFont="1" applyFill="1" applyBorder="1" applyAlignment="1">
      <alignment horizontal="center" vertical="center"/>
    </xf>
    <xf numFmtId="166" fontId="20" fillId="4" borderId="26" xfId="0" applyNumberFormat="1" applyFont="1" applyFill="1" applyBorder="1" applyAlignment="1">
      <alignment horizontal="center" vertical="center"/>
    </xf>
    <xf numFmtId="4" fontId="32" fillId="4" borderId="0" xfId="0" applyNumberFormat="1" applyFont="1" applyFill="1" applyBorder="1" applyAlignment="1">
      <alignment horizontal="center" wrapText="1"/>
    </xf>
    <xf numFmtId="166" fontId="20" fillId="4" borderId="27" xfId="0" applyNumberFormat="1" applyFont="1" applyFill="1" applyBorder="1" applyAlignment="1">
      <alignment horizontal="center" vertical="center"/>
    </xf>
    <xf numFmtId="166" fontId="20" fillId="4" borderId="28" xfId="0" applyNumberFormat="1" applyFont="1" applyFill="1" applyBorder="1" applyAlignment="1">
      <alignment horizontal="center" vertical="center"/>
    </xf>
    <xf numFmtId="166" fontId="20" fillId="4" borderId="29" xfId="0" applyNumberFormat="1" applyFont="1" applyFill="1" applyBorder="1" applyAlignment="1">
      <alignment horizontal="center" vertical="center"/>
    </xf>
    <xf numFmtId="0" fontId="33" fillId="4" borderId="0" xfId="0" applyFont="1" applyFill="1" applyAlignment="1">
      <alignment horizontal="center"/>
    </xf>
    <xf numFmtId="0" fontId="32" fillId="4" borderId="0" xfId="0" applyFont="1" applyFill="1" applyAlignment="1">
      <alignment horizontal="center" wrapText="1"/>
    </xf>
    <xf numFmtId="0" fontId="32" fillId="4" borderId="0" xfId="0" applyFont="1" applyFill="1" applyBorder="1" applyAlignment="1">
      <alignment horizontal="center" wrapText="1"/>
    </xf>
    <xf numFmtId="0" fontId="34" fillId="4" borderId="0" xfId="0" applyFont="1" applyFill="1" applyAlignment="1">
      <alignment horizontal="center"/>
    </xf>
    <xf numFmtId="0" fontId="0" fillId="4" borderId="0" xfId="0" applyFont="1" applyFill="1" applyAlignment="1"/>
    <xf numFmtId="0" fontId="13" fillId="4" borderId="0" xfId="0" applyFont="1" applyFill="1" applyAlignment="1"/>
    <xf numFmtId="165" fontId="20" fillId="4" borderId="20" xfId="0" applyNumberFormat="1" applyFont="1" applyFill="1" applyBorder="1" applyAlignment="1">
      <alignment horizontal="center"/>
    </xf>
    <xf numFmtId="165" fontId="20" fillId="4" borderId="22" xfId="0" applyNumberFormat="1" applyFont="1" applyFill="1" applyBorder="1" applyAlignment="1">
      <alignment horizontal="center"/>
    </xf>
    <xf numFmtId="165" fontId="20" fillId="4" borderId="21" xfId="0" applyNumberFormat="1" applyFont="1" applyFill="1" applyBorder="1" applyAlignment="1">
      <alignment horizontal="center"/>
    </xf>
    <xf numFmtId="0" fontId="13" fillId="4" borderId="30" xfId="0" applyFont="1" applyFill="1" applyBorder="1" applyAlignment="1">
      <alignment horizontal="left" indent="1"/>
    </xf>
    <xf numFmtId="0" fontId="13" fillId="4" borderId="0" xfId="0" applyFont="1" applyFill="1" applyBorder="1" applyAlignment="1">
      <alignment horizontal="left" indent="1"/>
    </xf>
    <xf numFmtId="0" fontId="13" fillId="4" borderId="0" xfId="0" applyFont="1" applyFill="1" applyAlignment="1">
      <alignment horizontal="center"/>
    </xf>
    <xf numFmtId="0" fontId="20" fillId="4" borderId="31" xfId="0" applyFont="1" applyFill="1" applyBorder="1" applyAlignment="1">
      <alignment horizontal="center"/>
    </xf>
    <xf numFmtId="0" fontId="20" fillId="4" borderId="32" xfId="0" applyFont="1" applyFill="1" applyBorder="1" applyAlignment="1">
      <alignment horizontal="center"/>
    </xf>
    <xf numFmtId="0" fontId="20" fillId="4" borderId="33" xfId="0" applyFont="1" applyFill="1" applyBorder="1" applyAlignment="1">
      <alignment horizontal="center"/>
    </xf>
    <xf numFmtId="0" fontId="13" fillId="4" borderId="0" xfId="0" applyFont="1" applyFill="1" applyAlignment="1">
      <alignment horizontal="center"/>
    </xf>
    <xf numFmtId="4" fontId="20" fillId="4" borderId="20" xfId="0" applyNumberFormat="1" applyFont="1" applyFill="1" applyBorder="1" applyAlignment="1">
      <alignment horizontal="center"/>
    </xf>
    <xf numFmtId="4" fontId="20" fillId="4" borderId="22" xfId="0" applyNumberFormat="1" applyFont="1" applyFill="1" applyBorder="1" applyAlignment="1">
      <alignment horizontal="center"/>
    </xf>
    <xf numFmtId="4" fontId="20" fillId="4" borderId="21" xfId="0" applyNumberFormat="1" applyFont="1" applyFill="1" applyBorder="1" applyAlignment="1">
      <alignment horizontal="center"/>
    </xf>
    <xf numFmtId="0" fontId="13" fillId="4" borderId="0" xfId="0" applyFont="1" applyFill="1" applyAlignment="1">
      <alignment horizontal="left" indent="1"/>
    </xf>
    <xf numFmtId="3" fontId="20" fillId="4" borderId="20" xfId="0" applyNumberFormat="1" applyFont="1" applyFill="1" applyBorder="1" applyAlignment="1">
      <alignment horizontal="center"/>
    </xf>
    <xf numFmtId="3" fontId="20" fillId="4" borderId="22" xfId="0" applyNumberFormat="1" applyFont="1" applyFill="1" applyBorder="1" applyAlignment="1">
      <alignment horizontal="center"/>
    </xf>
    <xf numFmtId="3" fontId="20" fillId="4" borderId="21" xfId="0" applyNumberFormat="1" applyFont="1" applyFill="1" applyBorder="1" applyAlignment="1">
      <alignment horizontal="center"/>
    </xf>
    <xf numFmtId="0" fontId="20" fillId="4" borderId="0" xfId="0" applyFont="1" applyFill="1" applyAlignment="1">
      <alignment horizontal="center"/>
    </xf>
    <xf numFmtId="3" fontId="20" fillId="4" borderId="31" xfId="0" applyNumberFormat="1" applyFont="1" applyFill="1" applyBorder="1" applyAlignment="1">
      <alignment horizontal="center"/>
    </xf>
    <xf numFmtId="3" fontId="20" fillId="4" borderId="32" xfId="0" applyNumberFormat="1" applyFont="1" applyFill="1" applyBorder="1" applyAlignment="1">
      <alignment horizontal="center"/>
    </xf>
    <xf numFmtId="3" fontId="20" fillId="4" borderId="33" xfId="0" applyNumberFormat="1" applyFont="1" applyFill="1" applyBorder="1" applyAlignment="1">
      <alignment horizontal="center"/>
    </xf>
    <xf numFmtId="3" fontId="35" fillId="4" borderId="0" xfId="0" applyNumberFormat="1" applyFont="1" applyFill="1" applyAlignment="1">
      <alignment horizontal="center"/>
    </xf>
    <xf numFmtId="9" fontId="20" fillId="4" borderId="20" xfId="14" applyFont="1" applyFill="1" applyBorder="1" applyAlignment="1">
      <alignment horizontal="center"/>
    </xf>
    <xf numFmtId="9" fontId="20" fillId="4" borderId="22" xfId="14" applyFont="1" applyFill="1" applyBorder="1" applyAlignment="1">
      <alignment horizontal="center"/>
    </xf>
    <xf numFmtId="9" fontId="20" fillId="4" borderId="21" xfId="14" applyFont="1" applyFill="1" applyBorder="1" applyAlignment="1">
      <alignment horizontal="center"/>
    </xf>
    <xf numFmtId="0" fontId="12" fillId="4" borderId="0" xfId="0" applyFont="1" applyFill="1" applyAlignment="1">
      <alignment horizontal="left" indent="1"/>
    </xf>
    <xf numFmtId="0" fontId="13" fillId="4" borderId="16" xfId="0" applyFont="1" applyFill="1" applyBorder="1" applyAlignment="1">
      <alignment horizontal="left" indent="1"/>
    </xf>
    <xf numFmtId="3" fontId="20" fillId="4" borderId="24" xfId="0" applyNumberFormat="1" applyFont="1" applyFill="1" applyBorder="1" applyAlignment="1">
      <alignment horizontal="center" vertical="center"/>
    </xf>
    <xf numFmtId="3" fontId="20" fillId="4" borderId="25" xfId="0" applyNumberFormat="1" applyFont="1" applyFill="1" applyBorder="1" applyAlignment="1">
      <alignment horizontal="center" vertical="center"/>
    </xf>
    <xf numFmtId="3" fontId="20" fillId="4" borderId="26" xfId="0" applyNumberFormat="1" applyFont="1" applyFill="1" applyBorder="1" applyAlignment="1">
      <alignment horizontal="center" vertical="center"/>
    </xf>
    <xf numFmtId="0" fontId="13" fillId="4" borderId="0" xfId="0" applyFont="1" applyFill="1" applyAlignment="1">
      <alignment horizontal="left" wrapText="1" indent="1"/>
    </xf>
    <xf numFmtId="3" fontId="20" fillId="4" borderId="27" xfId="0" applyNumberFormat="1" applyFont="1" applyFill="1" applyBorder="1" applyAlignment="1">
      <alignment horizontal="center" vertical="center"/>
    </xf>
    <xf numFmtId="3" fontId="20" fillId="4" borderId="28" xfId="0" applyNumberFormat="1" applyFont="1" applyFill="1" applyBorder="1" applyAlignment="1">
      <alignment horizontal="center" vertical="center"/>
    </xf>
    <xf numFmtId="3" fontId="20" fillId="4" borderId="29" xfId="0" applyNumberFormat="1" applyFont="1" applyFill="1" applyBorder="1" applyAlignment="1">
      <alignment horizontal="center" vertical="center"/>
    </xf>
    <xf numFmtId="0" fontId="20" fillId="4" borderId="23" xfId="0" applyFont="1" applyFill="1" applyBorder="1" applyAlignment="1">
      <alignment horizontal="center" vertical="center"/>
    </xf>
    <xf numFmtId="3" fontId="20" fillId="4" borderId="34" xfId="0" applyNumberFormat="1" applyFont="1" applyFill="1" applyBorder="1" applyAlignment="1">
      <alignment horizontal="center" vertical="center"/>
    </xf>
    <xf numFmtId="3" fontId="20" fillId="4" borderId="35" xfId="0" applyNumberFormat="1" applyFont="1" applyFill="1" applyBorder="1" applyAlignment="1">
      <alignment horizontal="center" vertical="center"/>
    </xf>
    <xf numFmtId="3" fontId="20" fillId="4" borderId="36" xfId="0" applyNumberFormat="1" applyFont="1" applyFill="1" applyBorder="1" applyAlignment="1">
      <alignment horizontal="center" vertical="center"/>
    </xf>
    <xf numFmtId="0" fontId="32" fillId="4" borderId="0" xfId="0" applyFont="1" applyFill="1" applyAlignment="1">
      <alignment horizontal="left" indent="1"/>
    </xf>
    <xf numFmtId="0" fontId="13" fillId="4" borderId="0" xfId="0" applyFont="1" applyFill="1" applyAlignment="1">
      <alignment horizontal="left"/>
    </xf>
    <xf numFmtId="0" fontId="13" fillId="4" borderId="16" xfId="0" applyFont="1" applyFill="1" applyBorder="1" applyAlignment="1">
      <alignment horizontal="center"/>
    </xf>
    <xf numFmtId="0" fontId="13" fillId="4" borderId="0" xfId="0" applyFont="1" applyFill="1" applyBorder="1" applyAlignment="1">
      <alignment horizontal="center"/>
    </xf>
    <xf numFmtId="0" fontId="13" fillId="4" borderId="17" xfId="0" applyFont="1" applyFill="1" applyBorder="1" applyAlignment="1">
      <alignment horizontal="center"/>
    </xf>
    <xf numFmtId="0" fontId="13" fillId="4" borderId="0" xfId="0" applyFont="1" applyFill="1" applyBorder="1" applyAlignment="1">
      <alignment horizontal="left"/>
    </xf>
    <xf numFmtId="0" fontId="13" fillId="4" borderId="17" xfId="0" applyFont="1" applyFill="1" applyBorder="1" applyAlignment="1">
      <alignment horizontal="left"/>
    </xf>
    <xf numFmtId="4" fontId="35" fillId="4" borderId="0" xfId="0" applyNumberFormat="1" applyFont="1" applyFill="1" applyBorder="1" applyAlignment="1">
      <alignment horizontal="center"/>
    </xf>
    <xf numFmtId="0" fontId="13" fillId="4" borderId="0" xfId="0" applyFont="1" applyFill="1" applyAlignment="1">
      <alignment horizontal="left" vertical="center" wrapText="1"/>
    </xf>
    <xf numFmtId="0" fontId="13" fillId="4" borderId="23" xfId="0" applyFont="1" applyFill="1" applyBorder="1" applyAlignment="1">
      <alignment horizontal="left" vertical="center" wrapText="1"/>
    </xf>
    <xf numFmtId="0" fontId="35" fillId="4" borderId="0" xfId="0" applyFont="1" applyFill="1" applyAlignment="1">
      <alignment horizontal="center"/>
    </xf>
    <xf numFmtId="0" fontId="13" fillId="4" borderId="0" xfId="0" applyFont="1" applyFill="1" applyAlignment="1">
      <alignment horizontal="left" vertical="center"/>
    </xf>
    <xf numFmtId="4" fontId="20" fillId="4" borderId="24" xfId="0" applyNumberFormat="1" applyFont="1" applyFill="1" applyBorder="1" applyAlignment="1">
      <alignment horizontal="center" vertical="center"/>
    </xf>
    <xf numFmtId="4" fontId="20" fillId="4" borderId="25" xfId="0" applyNumberFormat="1" applyFont="1" applyFill="1" applyBorder="1" applyAlignment="1">
      <alignment horizontal="center" vertical="center"/>
    </xf>
    <xf numFmtId="4" fontId="20" fillId="4" borderId="26" xfId="0" applyNumberFormat="1" applyFont="1" applyFill="1" applyBorder="1" applyAlignment="1">
      <alignment horizontal="center" vertical="center"/>
    </xf>
    <xf numFmtId="0" fontId="13" fillId="4" borderId="30" xfId="0" applyFont="1" applyFill="1" applyBorder="1" applyAlignment="1">
      <alignment horizontal="center" vertical="center"/>
    </xf>
    <xf numFmtId="0" fontId="13" fillId="4" borderId="0" xfId="0" applyFont="1" applyFill="1" applyBorder="1" applyAlignment="1">
      <alignment horizontal="center" vertical="center"/>
    </xf>
    <xf numFmtId="4" fontId="20" fillId="4" borderId="27" xfId="0" applyNumberFormat="1" applyFont="1" applyFill="1" applyBorder="1" applyAlignment="1">
      <alignment horizontal="center" vertical="center"/>
    </xf>
    <xf numFmtId="4" fontId="20" fillId="4" borderId="28" xfId="0" applyNumberFormat="1" applyFont="1" applyFill="1" applyBorder="1" applyAlignment="1">
      <alignment horizontal="center" vertical="center"/>
    </xf>
    <xf numFmtId="4" fontId="20" fillId="4" borderId="29" xfId="0" applyNumberFormat="1" applyFont="1" applyFill="1" applyBorder="1" applyAlignment="1">
      <alignment horizontal="center" vertical="center"/>
    </xf>
    <xf numFmtId="167" fontId="20" fillId="4" borderId="24" xfId="0" applyNumberFormat="1" applyFont="1" applyFill="1" applyBorder="1" applyAlignment="1">
      <alignment horizontal="center" vertical="center"/>
    </xf>
    <xf numFmtId="167" fontId="20" fillId="4" borderId="25" xfId="0" applyNumberFormat="1" applyFont="1" applyFill="1" applyBorder="1" applyAlignment="1">
      <alignment horizontal="center" vertical="center"/>
    </xf>
    <xf numFmtId="167" fontId="20" fillId="4" borderId="26" xfId="0" applyNumberFormat="1" applyFont="1" applyFill="1" applyBorder="1" applyAlignment="1">
      <alignment horizontal="center" vertical="center"/>
    </xf>
    <xf numFmtId="167" fontId="20" fillId="4" borderId="27" xfId="0" applyNumberFormat="1" applyFont="1" applyFill="1" applyBorder="1" applyAlignment="1">
      <alignment horizontal="center" vertical="center"/>
    </xf>
    <xf numFmtId="167" fontId="20" fillId="4" borderId="28" xfId="0" applyNumberFormat="1" applyFont="1" applyFill="1" applyBorder="1" applyAlignment="1">
      <alignment horizontal="center" vertical="center"/>
    </xf>
    <xf numFmtId="167" fontId="20" fillId="4" borderId="29" xfId="0" applyNumberFormat="1" applyFont="1" applyFill="1" applyBorder="1" applyAlignment="1">
      <alignment horizontal="center" vertical="center"/>
    </xf>
    <xf numFmtId="165" fontId="20" fillId="4" borderId="24" xfId="0" applyNumberFormat="1" applyFont="1" applyFill="1" applyBorder="1" applyAlignment="1">
      <alignment horizontal="center" vertical="center"/>
    </xf>
    <xf numFmtId="165" fontId="20" fillId="4" borderId="25" xfId="0" applyNumberFormat="1" applyFont="1" applyFill="1" applyBorder="1" applyAlignment="1">
      <alignment horizontal="center" vertical="center"/>
    </xf>
    <xf numFmtId="165" fontId="20" fillId="4" borderId="26" xfId="0" applyNumberFormat="1" applyFont="1" applyFill="1" applyBorder="1" applyAlignment="1">
      <alignment horizontal="center" vertical="center"/>
    </xf>
    <xf numFmtId="165" fontId="20" fillId="4" borderId="27" xfId="0" applyNumberFormat="1" applyFont="1" applyFill="1" applyBorder="1" applyAlignment="1">
      <alignment horizontal="center" vertical="center"/>
    </xf>
    <xf numFmtId="165" fontId="20" fillId="4" borderId="28" xfId="0" applyNumberFormat="1" applyFont="1" applyFill="1" applyBorder="1" applyAlignment="1">
      <alignment horizontal="center" vertical="center"/>
    </xf>
    <xf numFmtId="165" fontId="20" fillId="4" borderId="29" xfId="0" applyNumberFormat="1" applyFont="1" applyFill="1" applyBorder="1" applyAlignment="1">
      <alignment horizontal="center" vertical="center"/>
    </xf>
    <xf numFmtId="0" fontId="13" fillId="4" borderId="0" xfId="0" applyFont="1" applyFill="1" applyAlignment="1">
      <alignment horizontal="center" vertical="center"/>
    </xf>
    <xf numFmtId="0" fontId="20" fillId="4" borderId="18" xfId="0" applyFont="1" applyFill="1" applyBorder="1" applyAlignment="1" applyProtection="1">
      <alignment horizontal="left"/>
      <protection locked="0"/>
    </xf>
    <xf numFmtId="0" fontId="20" fillId="4" borderId="19" xfId="0" applyFont="1" applyFill="1" applyBorder="1" applyAlignment="1" applyProtection="1">
      <alignment horizontal="left"/>
      <protection locked="0"/>
    </xf>
    <xf numFmtId="0" fontId="20" fillId="4" borderId="3" xfId="0" applyFont="1" applyFill="1" applyBorder="1" applyAlignment="1" applyProtection="1">
      <alignment horizontal="left"/>
      <protection locked="0"/>
    </xf>
    <xf numFmtId="0" fontId="20" fillId="4" borderId="18" xfId="0" applyFont="1" applyFill="1" applyBorder="1" applyAlignment="1" applyProtection="1">
      <alignment horizontal="center"/>
      <protection locked="0"/>
    </xf>
    <xf numFmtId="0" fontId="20" fillId="4" borderId="19" xfId="0" applyFont="1" applyFill="1" applyBorder="1" applyAlignment="1" applyProtection="1">
      <alignment horizontal="center"/>
      <protection locked="0"/>
    </xf>
    <xf numFmtId="0" fontId="20" fillId="4" borderId="3" xfId="0" applyFont="1" applyFill="1" applyBorder="1" applyAlignment="1" applyProtection="1">
      <alignment horizontal="center"/>
      <protection locked="0"/>
    </xf>
    <xf numFmtId="3" fontId="20" fillId="4" borderId="18" xfId="0" applyNumberFormat="1" applyFont="1" applyFill="1" applyBorder="1" applyAlignment="1" applyProtection="1">
      <alignment horizontal="center"/>
      <protection locked="0"/>
    </xf>
    <xf numFmtId="3" fontId="20" fillId="4" borderId="19" xfId="0" applyNumberFormat="1" applyFont="1" applyFill="1" applyBorder="1" applyAlignment="1" applyProtection="1">
      <alignment horizontal="center"/>
      <protection locked="0"/>
    </xf>
    <xf numFmtId="3" fontId="20" fillId="4" borderId="3" xfId="0" applyNumberFormat="1" applyFont="1" applyFill="1" applyBorder="1" applyAlignment="1" applyProtection="1">
      <alignment horizontal="center"/>
      <protection locked="0"/>
    </xf>
    <xf numFmtId="165" fontId="20" fillId="4" borderId="18" xfId="0" applyNumberFormat="1" applyFont="1" applyFill="1" applyBorder="1" applyAlignment="1" applyProtection="1">
      <alignment horizontal="center"/>
      <protection locked="0"/>
    </xf>
    <xf numFmtId="165" fontId="20" fillId="4" borderId="19" xfId="0" applyNumberFormat="1" applyFont="1" applyFill="1" applyBorder="1" applyAlignment="1" applyProtection="1">
      <alignment horizontal="center"/>
      <protection locked="0"/>
    </xf>
    <xf numFmtId="165" fontId="20" fillId="4" borderId="3" xfId="0" applyNumberFormat="1" applyFont="1" applyFill="1" applyBorder="1" applyAlignment="1" applyProtection="1">
      <alignment horizontal="center"/>
      <protection locked="0"/>
    </xf>
    <xf numFmtId="166" fontId="20" fillId="4" borderId="18" xfId="0" applyNumberFormat="1" applyFont="1" applyFill="1" applyBorder="1" applyAlignment="1" applyProtection="1">
      <alignment horizontal="center"/>
      <protection locked="0"/>
    </xf>
    <xf numFmtId="166" fontId="20" fillId="4" borderId="19" xfId="0" applyNumberFormat="1" applyFont="1" applyFill="1" applyBorder="1" applyAlignment="1" applyProtection="1">
      <alignment horizontal="center"/>
      <protection locked="0"/>
    </xf>
    <xf numFmtId="166" fontId="20" fillId="4" borderId="3" xfId="0" applyNumberFormat="1" applyFont="1" applyFill="1" applyBorder="1" applyAlignment="1" applyProtection="1">
      <alignment horizontal="center"/>
      <protection locked="0"/>
    </xf>
    <xf numFmtId="0" fontId="16" fillId="4" borderId="0" xfId="2" applyFont="1" applyFill="1" applyBorder="1" applyAlignment="1" applyProtection="1">
      <alignment horizontal="left" vertical="center"/>
    </xf>
    <xf numFmtId="0" fontId="36" fillId="0" borderId="0" xfId="2" applyFont="1" applyBorder="1" applyAlignment="1">
      <alignment horizontal="left" vertical="center"/>
    </xf>
    <xf numFmtId="0" fontId="15" fillId="6" borderId="29" xfId="3" applyFont="1" applyFill="1" applyBorder="1" applyAlignment="1">
      <alignment horizontal="center" vertical="center"/>
    </xf>
    <xf numFmtId="0" fontId="15" fillId="6" borderId="37" xfId="3" applyFont="1" applyFill="1" applyBorder="1">
      <alignment horizontal="left" vertical="center" indent="1"/>
    </xf>
    <xf numFmtId="0" fontId="15" fillId="6" borderId="37" xfId="3" applyFont="1" applyFill="1" applyBorder="1" applyAlignment="1">
      <alignment horizontal="center" vertical="center"/>
    </xf>
    <xf numFmtId="0" fontId="15" fillId="6" borderId="27" xfId="3" applyFont="1" applyFill="1" applyBorder="1" applyAlignment="1">
      <alignment horizontal="center" vertical="center"/>
    </xf>
    <xf numFmtId="0" fontId="12" fillId="0" borderId="26" xfId="0" applyNumberFormat="1" applyFont="1" applyFill="1" applyBorder="1" applyAlignment="1" applyProtection="1">
      <alignment horizontal="center" vertical="center"/>
      <protection locked="0"/>
    </xf>
    <xf numFmtId="0" fontId="12" fillId="0" borderId="38" xfId="0" applyFont="1" applyFill="1" applyBorder="1" applyAlignment="1" applyProtection="1">
      <alignment horizontal="center" vertical="center"/>
      <protection locked="0"/>
    </xf>
    <xf numFmtId="0" fontId="12" fillId="0" borderId="38" xfId="0" applyFont="1" applyFill="1" applyBorder="1" applyAlignment="1" applyProtection="1">
      <alignment horizontal="center" vertical="center"/>
    </xf>
    <xf numFmtId="0" fontId="12" fillId="0" borderId="38" xfId="1" applyNumberFormat="1" applyFont="1" applyFill="1" applyBorder="1" applyAlignment="1" applyProtection="1">
      <alignment horizontal="center" vertical="center"/>
    </xf>
    <xf numFmtId="3" fontId="12" fillId="0" borderId="24" xfId="1" applyNumberFormat="1" applyFont="1" applyFill="1" applyBorder="1" applyAlignment="1" applyProtection="1">
      <alignment horizontal="center" vertical="center"/>
      <protection locked="0"/>
    </xf>
    <xf numFmtId="0" fontId="20" fillId="4" borderId="20" xfId="0" applyFont="1" applyFill="1" applyBorder="1" applyAlignment="1" applyProtection="1">
      <alignment horizontal="center"/>
    </xf>
    <xf numFmtId="0" fontId="20" fillId="4" borderId="21" xfId="0" applyFont="1" applyFill="1" applyBorder="1" applyAlignment="1" applyProtection="1">
      <alignment horizontal="center"/>
    </xf>
    <xf numFmtId="0" fontId="32" fillId="4" borderId="0" xfId="0" applyFont="1" applyFill="1" applyAlignment="1">
      <alignment horizontal="center" vertical="center" wrapText="1"/>
    </xf>
  </cellXfs>
  <cellStyles count="15">
    <cellStyle name="Calculation" xfId="12" builtinId="22" customBuiltin="1"/>
    <cellStyle name="Heading 1" xfId="2" builtinId="16" customBuiltin="1"/>
    <cellStyle name="Heading 1 2" xfId="10"/>
    <cellStyle name="Heading 2" xfId="3" builtinId="17" customBuiltin="1"/>
    <cellStyle name="Heading 2 2" xfId="11"/>
    <cellStyle name="Heading 3" xfId="4" builtinId="18" customBuiltin="1"/>
    <cellStyle name="Hyperlink" xfId="1" builtinId="8" customBuiltin="1"/>
    <cellStyle name="Hyperlink 2" xfId="7"/>
    <cellStyle name="Normal" xfId="0" builtinId="0" customBuiltin="1"/>
    <cellStyle name="Normal 2" xfId="6"/>
    <cellStyle name="Normal 3" xfId="9"/>
    <cellStyle name="Normal 4" xfId="13"/>
    <cellStyle name="Notes" xfId="5"/>
    <cellStyle name="Percent" xfId="14" builtinId="5"/>
    <cellStyle name="Title 2" xfId="8"/>
  </cellStyles>
  <dxfs count="58">
    <dxf>
      <font>
        <strike val="0"/>
        <outline val="0"/>
        <shadow val="0"/>
        <u val="none"/>
        <vertAlign val="baseline"/>
        <sz val="11"/>
        <color theme="0"/>
        <name val="Calibri"/>
        <scheme val="major"/>
      </font>
      <fill>
        <patternFill patternType="solid">
          <fgColor indexed="64"/>
          <bgColor rgb="FFFF0000"/>
        </patternFill>
      </fill>
      <border diagonalUp="0" diagonalDown="0">
        <left style="thin">
          <color rgb="FFFF0000"/>
        </left>
        <right style="thin">
          <color rgb="FFFF0000"/>
        </right>
        <top/>
        <bottom/>
        <vertical style="thin">
          <color rgb="FFFF0000"/>
        </vertical>
        <horizontal style="thin">
          <color rgb="FFFF0000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/>
        <name val="Calibri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FF0000"/>
        </left>
        <right/>
        <top style="thin">
          <color rgb="FFFF0000"/>
        </top>
        <bottom style="thin">
          <color rgb="FFFF0000"/>
        </bottom>
        <vertical style="thin">
          <color rgb="FFFF0000"/>
        </vertical>
        <horizontal style="thin">
          <color rgb="FFFF0000"/>
        </horizontal>
      </border>
      <protection locked="0" hidden="0"/>
    </dxf>
    <dxf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 style="thin">
          <color rgb="FFFF0000"/>
        </vertical>
        <horizontal style="thin">
          <color rgb="FFFF0000"/>
        </horizontal>
      </border>
      <protection locked="1" hidden="0"/>
    </dxf>
    <dxf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 style="thin">
          <color rgb="FFFF0000"/>
        </vertical>
        <horizontal style="thin">
          <color rgb="FFFF0000"/>
        </horizontal>
      </border>
      <protection locked="1" hidden="0"/>
    </dxf>
    <dxf>
      <font>
        <b val="0"/>
      </font>
      <border diagonalUp="0" diagonalDown="0"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 style="thin">
          <color rgb="FFFF0000"/>
        </vertical>
        <horizontal style="thin">
          <color rgb="FFFF0000"/>
        </horizontal>
      </border>
      <protection locked="0" hidden="0"/>
    </dxf>
    <dxf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 style="thin">
          <color rgb="FFFF0000"/>
        </right>
        <top style="thin">
          <color rgb="FFFF0000"/>
        </top>
        <bottom style="thin">
          <color rgb="FFFF0000"/>
        </bottom>
        <vertical style="thin">
          <color rgb="FFFF0000"/>
        </vertical>
        <horizontal style="thin">
          <color rgb="FFFF0000"/>
        </horizontal>
      </border>
      <protection locked="0" hidden="0"/>
    </dxf>
    <dxf>
      <border>
        <top style="thin">
          <color rgb="FFFF0000"/>
        </top>
      </border>
    </dxf>
    <dxf>
      <border>
        <bottom style="thin">
          <color rgb="FFFF0000"/>
        </bottom>
      </border>
    </dxf>
    <dxf>
      <border diagonalUp="0" diagonalDown="0"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relativeIndent="0" justifyLastLine="0" shrinkToFit="0" readingOrder="0"/>
      <border diagonalUp="0" diagonalDown="0">
        <left style="thin">
          <color theme="6"/>
        </left>
        <right/>
        <top style="thin">
          <color theme="6"/>
        </top>
        <bottom style="thin">
          <color theme="6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65" formatCode="#,##0.0"/>
      <fill>
        <patternFill patternType="solid">
          <fgColor indexed="64"/>
          <bgColor theme="0"/>
        </patternFill>
      </fill>
      <alignment horizontal="center" vertical="center" textRotation="0" wrapText="0" relativeIndent="0" justifyLastLine="0" shrinkToFit="0" readingOrder="0"/>
      <border diagonalUp="0" diagonalDown="0"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/>
        <name val="Calibri"/>
        <scheme val="minor"/>
      </font>
      <numFmt numFmtId="165" formatCode="#,##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 style="thin">
          <color rgb="FF00B050"/>
        </vertical>
        <horizontal style="thin">
          <color rgb="FF00B050"/>
        </horizontal>
      </border>
      <protection locked="1" hidden="0"/>
    </dxf>
    <dxf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 style="thin">
          <color rgb="FF00B050"/>
        </vertical>
        <horizontal style="thin">
          <color rgb="FF00B050"/>
        </horizontal>
      </border>
      <protection locked="0" hidden="0"/>
    </dxf>
    <dxf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 style="thin">
          <color rgb="FF00B050"/>
        </vertical>
        <horizontal style="thin">
          <color rgb="FF00B050"/>
        </horizontal>
      </border>
      <protection locked="0" hidden="0"/>
    </dxf>
    <dxf>
      <font>
        <b val="0"/>
      </font>
      <fill>
        <patternFill patternType="solid">
          <fgColor indexed="64"/>
          <bgColor theme="0"/>
        </patternFill>
      </fill>
      <border diagonalUp="0" diagonalDown="0"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  <protection locked="0" hidden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theme="6"/>
        </right>
        <top style="thin">
          <color theme="6"/>
        </top>
        <bottom style="thin">
          <color theme="6"/>
        </bottom>
      </border>
      <protection locked="0" hidden="0"/>
    </dxf>
    <dxf>
      <border>
        <top style="thin">
          <color theme="6"/>
        </top>
        <vertical/>
        <horizontal/>
      </border>
    </dxf>
    <dxf>
      <border diagonalUp="0" diagonalDown="0"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fill>
        <patternFill patternType="solid">
          <fgColor rgb="FF000000"/>
          <bgColor rgb="FFFFFFFF"/>
        </patternFill>
      </fill>
    </dxf>
    <dxf>
      <border>
        <bottom style="thin">
          <color theme="6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theme="0"/>
        <name val="Calibri"/>
        <scheme val="major"/>
      </font>
      <fill>
        <patternFill patternType="solid">
          <fgColor indexed="64"/>
          <bgColor theme="6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6"/>
        </left>
        <right style="thin">
          <color theme="6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relativeIndent="0" justifyLastLine="0" shrinkToFit="0" readingOrder="0"/>
      <border diagonalUp="0" diagonalDown="0">
        <left style="thin">
          <color theme="5"/>
        </left>
        <right/>
        <top style="thin">
          <color theme="5"/>
        </top>
        <bottom style="thin">
          <color theme="5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65" formatCode="#,##0.0"/>
      <fill>
        <patternFill patternType="solid">
          <fgColor indexed="64"/>
          <bgColor theme="0"/>
        </patternFill>
      </fill>
      <alignment horizontal="center" vertical="center" textRotation="0" wrapText="0" relativeIndent="0" justifyLastLine="0" shrinkToFit="0" readingOrder="0"/>
      <border diagonalUp="0" diagonalDown="0">
        <left style="thin">
          <color theme="5"/>
        </left>
        <right style="thin">
          <color theme="5"/>
        </right>
        <top style="thin">
          <color theme="5"/>
        </top>
        <bottom style="thin">
          <color theme="5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/>
        <name val="Calibri"/>
        <scheme val="minor"/>
      </font>
      <numFmt numFmtId="165" formatCode="#,##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5"/>
        </left>
        <right style="thin">
          <color theme="5"/>
        </right>
        <top style="thin">
          <color theme="5"/>
        </top>
        <bottom style="thin">
          <color theme="5"/>
        </bottom>
        <vertical style="thin">
          <color rgb="FF00B050"/>
        </vertical>
        <horizontal style="thin">
          <color rgb="FF00B050"/>
        </horizontal>
      </border>
      <protection locked="1" hidden="0"/>
    </dxf>
    <dxf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5"/>
        </left>
        <right style="thin">
          <color theme="5"/>
        </right>
        <top style="thin">
          <color theme="5"/>
        </top>
        <bottom style="thin">
          <color theme="5"/>
        </bottom>
        <vertical style="thin">
          <color rgb="FF00B050"/>
        </vertical>
        <horizontal style="thin">
          <color rgb="FF00B050"/>
        </horizontal>
      </border>
      <protection locked="1" hidden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5"/>
        </left>
        <right style="thin">
          <color theme="5"/>
        </right>
        <top style="thin">
          <color theme="5"/>
        </top>
        <bottom style="thin">
          <color theme="5"/>
        </bottom>
        <vertical style="thin">
          <color rgb="FF00B050"/>
        </vertical>
        <horizontal style="thin">
          <color rgb="FF00B050"/>
        </horizontal>
      </border>
      <protection locked="0" hidden="0"/>
    </dxf>
    <dxf>
      <font>
        <b val="0"/>
      </font>
      <fill>
        <patternFill patternType="solid">
          <fgColor indexed="64"/>
          <bgColor theme="0"/>
        </patternFill>
      </fill>
      <border diagonalUp="0" diagonalDown="0">
        <left style="thin">
          <color theme="5"/>
        </left>
        <right style="thin">
          <color theme="5"/>
        </right>
        <top style="thin">
          <color theme="5"/>
        </top>
        <bottom style="thin">
          <color theme="5"/>
        </bottom>
      </border>
      <protection locked="0" hidden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theme="5"/>
        </right>
        <top style="thin">
          <color theme="5"/>
        </top>
        <bottom style="thin">
          <color theme="5"/>
        </bottom>
      </border>
      <protection locked="0" hidden="0"/>
    </dxf>
    <dxf>
      <border>
        <top style="thin">
          <color theme="5"/>
        </top>
        <vertical/>
        <horizontal/>
      </border>
    </dxf>
    <dxf>
      <border diagonalUp="0" diagonalDown="0">
        <left style="thin">
          <color theme="5"/>
        </left>
        <right style="thin">
          <color theme="5"/>
        </right>
        <top style="thin">
          <color theme="5"/>
        </top>
        <bottom style="thin">
          <color theme="5"/>
        </bottom>
      </border>
    </dxf>
    <dxf>
      <fill>
        <patternFill patternType="solid">
          <fgColor indexed="64"/>
          <bgColor theme="0"/>
        </patternFill>
      </fill>
    </dxf>
    <dxf>
      <border>
        <bottom style="thin">
          <color theme="5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theme="0"/>
        <name val="Calibri"/>
        <scheme val="major"/>
      </font>
      <fill>
        <patternFill patternType="solid">
          <fgColor indexed="64"/>
          <bgColor theme="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5"/>
        </left>
        <right style="thin">
          <color theme="5"/>
        </right>
        <top/>
        <bottom/>
      </border>
      <protection locked="1" hidden="0"/>
    </dxf>
    <dxf>
      <font>
        <b/>
        <i val="0"/>
        <color theme="7"/>
      </font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ont>
        <b/>
        <i val="0"/>
        <color theme="0"/>
      </font>
      <fill>
        <patternFill>
          <bgColor theme="7"/>
        </patternFill>
      </fill>
      <border>
        <left style="thin">
          <color theme="7"/>
        </left>
        <right style="thin">
          <color theme="7"/>
        </right>
        <top style="thin">
          <color theme="7"/>
        </top>
        <bottom style="thin">
          <color theme="7"/>
        </bottom>
        <vertical/>
      </border>
    </dxf>
    <dxf>
      <font>
        <color theme="3"/>
      </font>
      <border>
        <left style="thin">
          <color theme="7" tint="0.59996337778862885"/>
        </left>
        <right style="thin">
          <color theme="7" tint="0.59996337778862885"/>
        </right>
        <top style="thin">
          <color theme="7" tint="0.59996337778862885"/>
        </top>
        <bottom style="thin">
          <color theme="7" tint="0.59996337778862885"/>
        </bottom>
        <vertical style="thin">
          <color theme="7" tint="0.59996337778862885"/>
        </vertical>
        <horizontal/>
      </border>
    </dxf>
    <dxf>
      <font>
        <b/>
        <i val="0"/>
        <color theme="4"/>
      </font>
      <fill>
        <patternFill patternType="none">
          <bgColor auto="1"/>
        </patternFill>
      </fill>
    </dxf>
    <dxf>
      <fill>
        <patternFill>
          <bgColor theme="6" tint="0.79998168889431442"/>
        </patternFill>
      </fill>
    </dxf>
    <dxf>
      <font>
        <b/>
        <i val="0"/>
        <color theme="2"/>
      </font>
      <fill>
        <patternFill patternType="solid">
          <fgColor theme="4"/>
          <bgColor theme="6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</border>
    </dxf>
    <dxf>
      <font>
        <color theme="3"/>
      </font>
      <border diagonalUp="0" diagonalDown="0">
        <left style="thin">
          <color theme="6" tint="0.59996337778862885"/>
        </left>
        <right style="thin">
          <color theme="6" tint="0.59996337778862885"/>
        </right>
        <top style="thin">
          <color theme="6" tint="0.59996337778862885"/>
        </top>
        <bottom style="thin">
          <color theme="6" tint="0.59996337778862885"/>
        </bottom>
        <vertical style="thin">
          <color theme="6" tint="0.59996337778862885"/>
        </vertical>
        <horizontal style="thin">
          <color theme="6" tint="0.59996337778862885"/>
        </horizontal>
      </border>
    </dxf>
    <dxf>
      <fill>
        <patternFill>
          <bgColor theme="4" tint="0.79998168889431442"/>
        </patternFill>
      </fill>
    </dxf>
    <dxf>
      <font>
        <b/>
        <i val="0"/>
        <color theme="2"/>
      </font>
      <fill>
        <patternFill patternType="solid">
          <fgColor theme="4"/>
          <bgColor theme="4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</border>
    </dxf>
    <dxf>
      <font>
        <color theme="3"/>
      </font>
      <border diagonalUp="0" diagonalDown="0">
        <left style="thin">
          <color theme="4" tint="0.59996337778862885"/>
        </left>
        <right style="thin">
          <color theme="4" tint="0.59996337778862885"/>
        </right>
        <top style="thin">
          <color theme="4" tint="0.59996337778862885"/>
        </top>
        <bottom style="thin">
          <color theme="4" tint="0.59996337778862885"/>
        </bottom>
        <vertical style="thin">
          <color theme="4" tint="0.59996337778862885"/>
        </vertical>
        <horizontal style="thin">
          <color theme="4" tint="0.59996337778862885"/>
        </horizontal>
      </border>
    </dxf>
    <dxf>
      <fill>
        <patternFill>
          <bgColor theme="5" tint="0.79998168889431442"/>
        </patternFill>
      </fill>
    </dxf>
    <dxf>
      <font>
        <b/>
        <i val="0"/>
        <color theme="2"/>
      </font>
      <fill>
        <patternFill patternType="solid">
          <fgColor theme="4"/>
          <bgColor theme="5"/>
        </patternFill>
      </fill>
      <border>
        <left style="thin">
          <color theme="5"/>
        </left>
        <right style="thin">
          <color theme="5"/>
        </right>
        <top style="thin">
          <color theme="5"/>
        </top>
        <bottom style="thin">
          <color theme="5"/>
        </bottom>
        <vertical/>
      </border>
    </dxf>
    <dxf>
      <font>
        <color theme="9" tint="0.39994506668294322"/>
      </font>
      <border diagonalUp="0" diagonalDown="0">
        <left style="thin">
          <color theme="5" tint="0.59996337778862885"/>
        </left>
        <right style="thin">
          <color theme="5" tint="0.59996337778862885"/>
        </right>
        <top style="thin">
          <color theme="5" tint="0.59996337778862885"/>
        </top>
        <bottom style="thin">
          <color theme="5" tint="0.59996337778862885"/>
        </bottom>
        <vertical style="thin">
          <color theme="5" tint="0.59996337778862885"/>
        </vertical>
        <horizontal style="thin">
          <color theme="5" tint="0.59996337778862885"/>
        </horizontal>
      </border>
    </dxf>
    <dxf>
      <fill>
        <patternFill>
          <bgColor theme="5" tint="0.79998168889431442"/>
        </patternFill>
      </fill>
    </dxf>
    <dxf>
      <font>
        <b/>
        <i val="0"/>
        <color theme="2"/>
      </font>
      <fill>
        <patternFill patternType="solid">
          <fgColor theme="4"/>
          <bgColor theme="5"/>
        </patternFill>
      </fill>
      <border>
        <left style="thin">
          <color theme="5"/>
        </left>
        <right style="thin">
          <color theme="5"/>
        </right>
        <top style="thin">
          <color theme="5"/>
        </top>
        <bottom style="thin">
          <color theme="5"/>
        </bottom>
        <vertical/>
      </border>
    </dxf>
    <dxf>
      <font>
        <color theme="9" tint="0.39994506668294322"/>
      </font>
      <border diagonalUp="0" diagonalDown="0">
        <left style="thin">
          <color theme="5" tint="0.59996337778862885"/>
        </left>
        <right style="thin">
          <color theme="5" tint="0.59996337778862885"/>
        </right>
        <top style="thin">
          <color theme="5" tint="0.59996337778862885"/>
        </top>
        <bottom style="thin">
          <color theme="5" tint="0.59996337778862885"/>
        </bottom>
        <vertical style="thin">
          <color theme="5" tint="0.59996337778862885"/>
        </vertical>
        <horizontal style="thin">
          <color theme="5" tint="0.59996337778862885"/>
        </horizontal>
      </border>
    </dxf>
    <dxf>
      <font>
        <b/>
        <i val="0"/>
        <color theme="5"/>
      </font>
      <fill>
        <patternFill patternType="none">
          <bgColor auto="1"/>
        </patternFill>
      </fill>
    </dxf>
    <dxf>
      <font>
        <b/>
        <i val="0"/>
        <color theme="6"/>
      </font>
      <fill>
        <patternFill patternType="none">
          <bgColor auto="1"/>
        </patternFill>
      </fill>
    </dxf>
  </dxfs>
  <tableStyles count="9" defaultTableStyle="Meal Plan Tab Style" defaultPivotStyle="Shopping Tab Style">
    <tableStyle name="Analysis" pivot="0" count="1">
      <tableStyleElement type="headerRow" dxfId="57"/>
    </tableStyle>
    <tableStyle name="Assess Opportunities " pivot="0" count="1">
      <tableStyleElement type="headerRow" dxfId="56"/>
    </tableStyle>
    <tableStyle name="Ingredients Tab Style" pivot="0" count="3">
      <tableStyleElement type="wholeTable" dxfId="55"/>
      <tableStyleElement type="headerRow" dxfId="54"/>
      <tableStyleElement type="secondRowStripe" dxfId="53"/>
    </tableStyle>
    <tableStyle name="Ingredients Tab Style 2" pivot="0" count="3">
      <tableStyleElement type="wholeTable" dxfId="52"/>
      <tableStyleElement type="headerRow" dxfId="51"/>
      <tableStyleElement type="secondRowStripe" dxfId="50"/>
    </tableStyle>
    <tableStyle name="Meal Plan Tab Style" pivot="0" count="3">
      <tableStyleElement type="wholeTable" dxfId="49"/>
      <tableStyleElement type="headerRow" dxfId="48"/>
      <tableStyleElement type="secondRowStripe" dxfId="47"/>
    </tableStyle>
    <tableStyle name="Recipies Tab Style" pivot="0" count="3">
      <tableStyleElement type="wholeTable" dxfId="46"/>
      <tableStyleElement type="headerRow" dxfId="45"/>
      <tableStyleElement type="secondRowStripe" dxfId="44"/>
    </tableStyle>
    <tableStyle name="Self Assessment" pivot="0" count="1">
      <tableStyleElement type="headerRow" dxfId="43"/>
    </tableStyle>
    <tableStyle name="Shopping Tab Style" table="0" count="3">
      <tableStyleElement type="wholeTable" dxfId="42"/>
      <tableStyleElement type="headerRow" dxfId="41"/>
      <tableStyleElement type="secondRowStripe" dxfId="40"/>
    </tableStyle>
    <tableStyle name="Skills and Personal Development" pivot="0" count="1">
      <tableStyleElement type="headerRow" dxfId="39"/>
    </tableStyle>
  </tableStyles>
  <colors>
    <mruColors>
      <color rgb="FF33A8FF"/>
      <color rgb="FF0070C0"/>
      <color rgb="FF33A1FF"/>
      <color rgb="FF36A8FF"/>
      <color rgb="FF009AD0"/>
      <color rgb="FF7F94FD"/>
      <color rgb="FF005EA4"/>
      <color rgb="FF6699FF"/>
      <color rgb="FFFBE1D1"/>
      <color rgb="FFF6D2C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952500</xdr:colOff>
          <xdr:row>0</xdr:row>
          <xdr:rowOff>219075</xdr:rowOff>
        </xdr:from>
        <xdr:to>
          <xdr:col>6</xdr:col>
          <xdr:colOff>285750</xdr:colOff>
          <xdr:row>2</xdr:row>
          <xdr:rowOff>19050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76201</xdr:colOff>
      <xdr:row>43</xdr:row>
      <xdr:rowOff>19050</xdr:rowOff>
    </xdr:from>
    <xdr:to>
      <xdr:col>15</xdr:col>
      <xdr:colOff>121920</xdr:colOff>
      <xdr:row>67</xdr:row>
      <xdr:rowOff>190501</xdr:rowOff>
    </xdr:to>
    <xdr:sp macro="" textlink="">
      <xdr:nvSpPr>
        <xdr:cNvPr id="2" name="Cube 1"/>
        <xdr:cNvSpPr/>
      </xdr:nvSpPr>
      <xdr:spPr>
        <a:xfrm>
          <a:off x="3724276" y="7458075"/>
          <a:ext cx="45719" cy="4638676"/>
        </a:xfrm>
        <a:prstGeom prst="cube">
          <a:avLst/>
        </a:prstGeom>
        <a:solidFill>
          <a:srgbClr val="00B050"/>
        </a:solidFill>
        <a:ln>
          <a:solidFill>
            <a:srgbClr val="00B05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opy%20of%20Operator%20Tool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Sludge%20Volu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nit Conversion"/>
      <sheetName val="Treatment Efficiency"/>
      <sheetName val="Lookup"/>
      <sheetName val="SigFigures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M1" t="str">
            <v>BOD5</v>
          </cell>
          <cell r="AN1" t="str">
            <v>Extended Aeration</v>
          </cell>
          <cell r="AP1" t="str">
            <v>No Digestion</v>
          </cell>
        </row>
        <row r="2">
          <cell r="AM2" t="str">
            <v>CBOD5</v>
          </cell>
          <cell r="AN2" t="str">
            <v>Conventional Activated Sludge</v>
          </cell>
          <cell r="AP2" t="str">
            <v>Aerobic Digestion, HDT = 10 Days</v>
          </cell>
        </row>
        <row r="3">
          <cell r="AN3" t="str">
            <v>Activated Sludge with Primary Clarification</v>
          </cell>
          <cell r="AP3" t="str">
            <v>Aerobic Digestion, HDT = 15</v>
          </cell>
        </row>
        <row r="4">
          <cell r="AN4" t="str">
            <v>Sequencing Batch Reactor</v>
          </cell>
          <cell r="AP4" t="str">
            <v>Aerobic Digestion, HDT = 20</v>
          </cell>
        </row>
        <row r="5">
          <cell r="AN5" t="str">
            <v>Oxidation Ditch</v>
          </cell>
          <cell r="AP5" t="str">
            <v>Aerobic Digestion, HDT= &gt;30</v>
          </cell>
        </row>
        <row r="6">
          <cell r="AN6" t="str">
            <v>Contact Stabilization</v>
          </cell>
          <cell r="AP6" t="str">
            <v>Aerobic Thermophilic</v>
          </cell>
        </row>
        <row r="7">
          <cell r="AN7" t="str">
            <v>Trickling Filter</v>
          </cell>
          <cell r="AP7" t="str">
            <v>Anaerobic Digestion, HDT = 20</v>
          </cell>
        </row>
        <row r="8">
          <cell r="AN8" t="str">
            <v>Rotating Biological Contactor</v>
          </cell>
          <cell r="AP8" t="str">
            <v>Anaerobic Digestion, HDT = 30</v>
          </cell>
        </row>
        <row r="9">
          <cell r="AP9" t="str">
            <v>Anaerobic Digestion, HDT = 40</v>
          </cell>
        </row>
      </sheetData>
      <sheetData sheetId="1" refreshError="1"/>
      <sheetData sheetId="2" refreshError="1"/>
    </sheetDataSet>
  </externalBook>
</externalLink>
</file>

<file path=xl/tables/table1.xml><?xml version="1.0" encoding="utf-8"?>
<table xmlns="http://schemas.openxmlformats.org/spreadsheetml/2006/main" id="1" name="Test" displayName="Test" ref="B5:F6" totalsRowShown="0" headerRowDxfId="0" headerRowBorderDxfId="7" tableBorderDxfId="8" totalsRowBorderDxfId="6" headerRowCellStyle="Heading 2">
  <tableColumns count="5">
    <tableColumn id="1" name="Enter Value" dataDxfId="5"/>
    <tableColumn id="2" name="Select Unit of Measurement 1" dataDxfId="4"/>
    <tableColumn id="3" name="Converts To" dataDxfId="3">
      <calculatedColumnFormula>IF(AND(B6&lt;&gt;"",C6&lt;&gt;""),"=","")</calculatedColumnFormula>
    </tableColumn>
    <tableColumn id="4" name="Result" dataDxfId="2">
      <calculatedColumnFormula>IFERROR(IF(AND(D6&lt;&gt;"",F6&lt;&gt;""),IF(ROUND(I24,SigFigures!C24)=0,I24,ROUND(I24,SigFigures!C24)),""),"")</calculatedColumnFormula>
    </tableColumn>
    <tableColumn id="5" name="Select Unit of Measurement 2" dataDxfId="1" dataCellStyle="Hyperlink"/>
  </tableColumns>
  <tableStyleInfo name="Recipies Tab Style" showFirstColumn="0" showLastColumn="0" showRowStripes="1" showColumnStripes="0"/>
</table>
</file>

<file path=xl/tables/table2.xml><?xml version="1.0" encoding="utf-8"?>
<table xmlns="http://schemas.openxmlformats.org/spreadsheetml/2006/main" id="2" name="Test3" displayName="Test3" ref="B5:H6" totalsRowShown="0" headerRowDxfId="38" dataDxfId="36" headerRowBorderDxfId="37" tableBorderDxfId="35" totalsRowBorderDxfId="34" headerRowCellStyle="Heading 2">
  <tableColumns count="7">
    <tableColumn id="1" name="Influent Flow (MGD)" dataDxfId="33"/>
    <tableColumn id="2" name="Influent Concentration (mg/L)" dataDxfId="32"/>
    <tableColumn id="3" name="Effluent Concentration (mg/L)" dataDxfId="31"/>
    <tableColumn id="4" name="Influent Mass Entering Treatment Unit (lbs)" dataDxfId="30">
      <calculatedColumnFormula>IF(AND(B6&lt;&gt;"",C6&lt;&gt;""),B6*C6*8.34,"")</calculatedColumnFormula>
    </tableColumn>
    <tableColumn id="5" name="Effluent Mass Leaving Treatment Unit (lbs)" dataDxfId="29" dataCellStyle="Hyperlink">
      <calculatedColumnFormula>IF(AND(B6&lt;&gt;"",D6&lt;&gt;""),B6*D6*8.34,"")</calculatedColumnFormula>
    </tableColumn>
    <tableColumn id="6" name="Mass Removed by Treatment Unit (lbs)" dataDxfId="28" dataCellStyle="Hyperlink">
      <calculatedColumnFormula>IF(AND(B6&lt;&gt;"",C6&lt;&gt;"",D6&lt;&gt;""),(C6-D6)*B6*8.34,"")</calculatedColumnFormula>
    </tableColumn>
    <tableColumn id="7" name="Removal Efficiency" dataDxfId="27" dataCellStyle="Hyperlink">
      <calculatedColumnFormula>IF(AND(B6&lt;&gt;"",C6&lt;&gt;"",D6&lt;&gt;""),(C6-D6)/C6,"")</calculatedColumnFormula>
    </tableColumn>
  </tableColumns>
  <tableStyleInfo name="Recipies Tab Style" showFirstColumn="0" showLastColumn="0" showRowStripes="1" showColumnStripes="0"/>
</table>
</file>

<file path=xl/tables/table3.xml><?xml version="1.0" encoding="utf-8"?>
<table xmlns="http://schemas.openxmlformats.org/spreadsheetml/2006/main" id="3" name="Test34" displayName="Test34" ref="B5:H6" totalsRowShown="0" headerRowDxfId="26" dataDxfId="24" headerRowBorderDxfId="25" tableBorderDxfId="23" totalsRowBorderDxfId="22" headerRowCellStyle="Heading 2">
  <tableColumns count="7">
    <tableColumn id="1" name="Influent Flow (MGD)" dataDxfId="21"/>
    <tableColumn id="2" name="Influent CBOD Concentration (mg/L)" dataDxfId="20"/>
    <tableColumn id="3" name="Volume of Aeration System (gallons)" dataDxfId="19"/>
    <tableColumn id="4" name="Mixed Liquor Volatile Suspended Solids (MLVSS) (mg/L)" dataDxfId="18"/>
    <tableColumn id="5" name="Pounds of Food (F) Entering Aeration (lbs)" dataDxfId="17" dataCellStyle="Hyperlink">
      <calculatedColumnFormula>IF(AND(B6&lt;&gt;"",C6&lt;&gt;""),B6*C6*8.34,"")</calculatedColumnFormula>
    </tableColumn>
    <tableColumn id="6" name="Pounds of Volatile Solids Under Aeration (lbs)" dataDxfId="16" dataCellStyle="Hyperlink">
      <calculatedColumnFormula>IF(AND(D6&lt;&gt;"",E6&lt;&gt;""),(D6/1000000)*E6*8.34,"")</calculatedColumnFormula>
    </tableColumn>
    <tableColumn id="7" name="F:M Ratio" dataDxfId="15" dataCellStyle="Hyperlink">
      <calculatedColumnFormula>IF(AND(F6&lt;&gt;"",G6&lt;&gt;""),F6/G6,"")</calculatedColumnFormula>
    </tableColumn>
  </tableColumns>
  <tableStyleInfo name="Recipies Tab Style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Monthly Meal Planner">
      <a:dk1>
        <a:sysClr val="windowText" lastClr="000000"/>
      </a:dk1>
      <a:lt1>
        <a:sysClr val="window" lastClr="FFFFFF"/>
      </a:lt1>
      <a:dk2>
        <a:srgbClr val="5B564D"/>
      </a:dk2>
      <a:lt2>
        <a:srgbClr val="FFFFFF"/>
      </a:lt2>
      <a:accent1>
        <a:srgbClr val="85BD26"/>
      </a:accent1>
      <a:accent2>
        <a:srgbClr val="EB6B1F"/>
      </a:accent2>
      <a:accent3>
        <a:srgbClr val="42B8CE"/>
      </a:accent3>
      <a:accent4>
        <a:srgbClr val="E8AF0F"/>
      </a:accent4>
      <a:accent5>
        <a:srgbClr val="F25B4E"/>
      </a:accent5>
      <a:accent6>
        <a:srgbClr val="B35BA9"/>
      </a:accent6>
      <a:hlink>
        <a:srgbClr val="42B8CE"/>
      </a:hlink>
      <a:folHlink>
        <a:srgbClr val="B35BA9"/>
      </a:folHlink>
    </a:clrScheme>
    <a:fontScheme name="Monthly Meal Planner">
      <a:majorFont>
        <a:latin typeface="Calibri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6" Type="http://schemas.openxmlformats.org/officeDocument/2006/relationships/table" Target="../tables/table3.xml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7030A0"/>
    <pageSetUpPr autoPageBreaks="0" fitToPage="1"/>
  </sheetPr>
  <dimension ref="A1:O24"/>
  <sheetViews>
    <sheetView showGridLines="0" tabSelected="1" zoomScaleNormal="100" workbookViewId="0">
      <selection activeCell="B4" sqref="B4:C4"/>
    </sheetView>
  </sheetViews>
  <sheetFormatPr defaultColWidth="0" defaultRowHeight="18" customHeight="1" zeroHeight="1" x14ac:dyDescent="0.2"/>
  <cols>
    <col min="1" max="1" width="2.7109375" style="1" customWidth="1"/>
    <col min="2" max="2" width="16.7109375" style="1" customWidth="1"/>
    <col min="3" max="3" width="30.7109375" style="1" customWidth="1"/>
    <col min="4" max="4" width="12.42578125" style="1" customWidth="1"/>
    <col min="5" max="5" width="16.7109375" style="1" customWidth="1"/>
    <col min="6" max="6" width="30.7109375" style="1" customWidth="1"/>
    <col min="7" max="7" width="2.7109375" style="3" customWidth="1"/>
    <col min="8" max="8" width="19.7109375" style="3" hidden="1" customWidth="1"/>
    <col min="9" max="9" width="12" style="3" hidden="1" customWidth="1"/>
    <col min="10" max="10" width="10.7109375" style="3" hidden="1" customWidth="1"/>
    <col min="11" max="11" width="36.28515625" style="6" hidden="1" customWidth="1"/>
    <col min="12" max="12" width="25" style="6" hidden="1" customWidth="1"/>
    <col min="13" max="13" width="21.85546875" style="3" hidden="1" customWidth="1"/>
    <col min="14" max="14" width="24.28515625" style="7" hidden="1" customWidth="1"/>
    <col min="15" max="15" width="12.7109375" style="2" hidden="1" customWidth="1"/>
    <col min="16" max="16384" width="9.140625" style="1" hidden="1"/>
  </cols>
  <sheetData>
    <row r="1" spans="2:11" ht="23.1" customHeight="1" x14ac:dyDescent="0.2">
      <c r="B1" s="4"/>
      <c r="C1" s="4"/>
      <c r="D1" s="4"/>
      <c r="E1" s="4"/>
      <c r="F1" s="4"/>
      <c r="K1" s="6" t="s">
        <v>58</v>
      </c>
    </row>
    <row r="2" spans="2:11" ht="27.95" customHeight="1" x14ac:dyDescent="0.2">
      <c r="B2" s="154" t="s">
        <v>57</v>
      </c>
      <c r="C2" s="4"/>
      <c r="D2" s="4"/>
      <c r="E2" s="4"/>
      <c r="F2" s="4"/>
      <c r="K2" s="6" t="s">
        <v>8</v>
      </c>
    </row>
    <row r="3" spans="2:11" ht="12" customHeight="1" x14ac:dyDescent="0.2">
      <c r="B3" s="5"/>
      <c r="C3" s="4"/>
      <c r="D3" s="4"/>
      <c r="E3" s="4"/>
      <c r="F3" s="4"/>
      <c r="K3" s="6" t="s">
        <v>53</v>
      </c>
    </row>
    <row r="4" spans="2:11" ht="23.1" customHeight="1" x14ac:dyDescent="0.2">
      <c r="B4" s="46" t="s">
        <v>58</v>
      </c>
      <c r="C4" s="46"/>
      <c r="D4" s="17"/>
      <c r="E4" s="17"/>
      <c r="F4" s="17"/>
      <c r="K4" s="6" t="s">
        <v>52</v>
      </c>
    </row>
    <row r="5" spans="2:11" ht="18" customHeight="1" x14ac:dyDescent="0.2">
      <c r="B5" s="155" t="s">
        <v>86</v>
      </c>
      <c r="C5" s="156" t="s">
        <v>4</v>
      </c>
      <c r="D5" s="157" t="s">
        <v>2</v>
      </c>
      <c r="E5" s="157" t="s">
        <v>9</v>
      </c>
      <c r="F5" s="158" t="s">
        <v>5</v>
      </c>
      <c r="H5" s="8" t="s">
        <v>65</v>
      </c>
      <c r="I5" s="8" t="s">
        <v>9</v>
      </c>
      <c r="K5" s="6" t="s">
        <v>145</v>
      </c>
    </row>
    <row r="6" spans="2:11" ht="18" customHeight="1" x14ac:dyDescent="0.2">
      <c r="B6" s="159"/>
      <c r="C6" s="160"/>
      <c r="D6" s="161" t="str">
        <f t="shared" ref="D6" si="0">IF(AND(B6&lt;&gt;"",C6&lt;&gt;""),"=","")</f>
        <v/>
      </c>
      <c r="E6" s="162" t="str">
        <f>IFERROR(IF(AND(D6&lt;&gt;"",F6&lt;&gt;""),IF(ROUND(I24,SigFigures!C24)=0,I24,ROUND(I24,SigFigures!C24)),""),"")</f>
        <v/>
      </c>
      <c r="F6" s="163"/>
      <c r="H6" s="3" t="str">
        <f t="array" ref="H6">IFERROR(INDEX(Lookup!$A$2:$A$82,SMALL(IF((Lookup!$B$2:$B$82=C6)*(Lookup!$C$2:$C$82=F6),ROW($2:$82)-ROW($1:$1)),ROW($A1))),"")</f>
        <v/>
      </c>
      <c r="I6" s="3" t="str">
        <f>IF(AND(D6&lt;&gt;"",F6&lt;&gt;"",B4="Area"),B6*H6,"")</f>
        <v/>
      </c>
      <c r="K6" s="6" t="s">
        <v>55</v>
      </c>
    </row>
    <row r="7" spans="2:11" ht="18" customHeight="1" x14ac:dyDescent="0.2">
      <c r="H7" s="8" t="s">
        <v>66</v>
      </c>
      <c r="I7" s="8" t="s">
        <v>9</v>
      </c>
      <c r="K7" s="6" t="s">
        <v>54</v>
      </c>
    </row>
    <row r="8" spans="2:11" ht="18" hidden="1" customHeight="1" x14ac:dyDescent="0.2">
      <c r="H8" s="3" t="str">
        <f t="array" ref="H8">IFERROR(INDEX(Lookup!$E$2:$E$145,SMALL(IF((Lookup!$F$2:$F$145=C6)*(Lookup!$G$2:$G$145=F6),ROW($2:$145)-ROW($1:$1)),ROW($A1))),"")</f>
        <v/>
      </c>
      <c r="I8" s="3" t="str">
        <f>IF(AND($D$6&lt;&gt;"",$F$6&lt;&gt;"",$B$4="Volume"),$B$6*H8,"")</f>
        <v/>
      </c>
      <c r="K8" s="6" t="s">
        <v>51</v>
      </c>
    </row>
    <row r="9" spans="2:11" ht="18" hidden="1" customHeight="1" x14ac:dyDescent="0.2">
      <c r="H9" s="8" t="s">
        <v>67</v>
      </c>
      <c r="I9" s="8" t="s">
        <v>9</v>
      </c>
      <c r="K9" s="6" t="s">
        <v>56</v>
      </c>
    </row>
    <row r="10" spans="2:11" ht="18" hidden="1" customHeight="1" x14ac:dyDescent="0.2">
      <c r="H10" s="3" t="str">
        <f t="array" ref="H10">IFERROR(INDEX(Lookup!$I$2:$I$101,SMALL(IF((Lookup!$J$2:$J$101=C6)*(Lookup!$K$2:$K$101=F6),ROW($2:$101)-ROW($1:$1)),ROW($A1))),"")</f>
        <v/>
      </c>
      <c r="I10" s="3" t="str">
        <f>IF(AND($D$6&lt;&gt;"",$F$6&lt;&gt;"",$B$4="Flow"),$B$6*H10,"")</f>
        <v/>
      </c>
      <c r="K10" s="6" t="s">
        <v>35</v>
      </c>
    </row>
    <row r="11" spans="2:11" ht="18" hidden="1" customHeight="1" x14ac:dyDescent="0.2">
      <c r="H11" s="8" t="s">
        <v>68</v>
      </c>
      <c r="I11" s="8" t="s">
        <v>9</v>
      </c>
    </row>
    <row r="12" spans="2:11" ht="18" hidden="1" customHeight="1" x14ac:dyDescent="0.2">
      <c r="H12" s="3" t="str">
        <f t="array" ref="H12">IFERROR(INDEX(Lookup!$M$2:$M$82,SMALL(IF((Lookup!$N$2:$N$82=C6)*(Lookup!$O$2:$O$82=F6),ROW($2:$82)-ROW($1:$1)),ROW($A1))),"")</f>
        <v/>
      </c>
      <c r="I12" s="3" t="str">
        <f>IF(AND($D$6&lt;&gt;"",$F$6&lt;&gt;"",$B$4="Length"),$B$6*H12,"")</f>
        <v/>
      </c>
    </row>
    <row r="13" spans="2:11" ht="18" hidden="1" customHeight="1" x14ac:dyDescent="0.2">
      <c r="H13" s="8" t="s">
        <v>69</v>
      </c>
      <c r="I13" s="8" t="s">
        <v>9</v>
      </c>
      <c r="K13" s="1"/>
    </row>
    <row r="14" spans="2:11" ht="18" hidden="1" customHeight="1" x14ac:dyDescent="0.2">
      <c r="H14" s="3" t="str">
        <f t="array" ref="H14">IFERROR(INDEX(Lookup!$W$2:$W$65,SMALL(IF((Lookup!$X$2:$X$65=C6)*(Lookup!$Y$2:$Y$65=F6),ROW($2:$65)-ROW($1:$1)),ROW($A1))),"")</f>
        <v/>
      </c>
      <c r="I14" s="3" t="str">
        <f>IF(AND($D$6&lt;&gt;"",$F$6&lt;&gt;"",$B$4="Power"),$B$6*H14,"")</f>
        <v/>
      </c>
      <c r="K14" s="1"/>
    </row>
    <row r="15" spans="2:11" ht="18" hidden="1" customHeight="1" x14ac:dyDescent="0.2">
      <c r="H15" s="8" t="s">
        <v>70</v>
      </c>
      <c r="I15" s="8" t="s">
        <v>9</v>
      </c>
      <c r="K15" s="1"/>
    </row>
    <row r="16" spans="2:11" ht="18" hidden="1" customHeight="1" x14ac:dyDescent="0.2">
      <c r="H16" s="3" t="str">
        <f t="array" ref="H16">IFERROR(INDEX(Lookup!$AA$2:$AA$50,SMALL(IF((Lookup!$AB$2:$AB$50=C6)*(Lookup!$AC$2:$AC$50=F6),ROW($2:$50)-ROW($1:$1)),ROW($A1))),"")</f>
        <v/>
      </c>
      <c r="I16" s="3" t="str">
        <f>IF(AND($D$6&lt;&gt;"",$F$6&lt;&gt;"",$B$4="Pressure"),$B$6*H16,"")</f>
        <v/>
      </c>
      <c r="K16" s="1"/>
    </row>
    <row r="17" spans="8:11" ht="18" hidden="1" customHeight="1" x14ac:dyDescent="0.2">
      <c r="H17" s="8" t="s">
        <v>71</v>
      </c>
      <c r="I17" s="8" t="s">
        <v>9</v>
      </c>
      <c r="K17" s="1"/>
    </row>
    <row r="18" spans="8:11" ht="18" hidden="1" customHeight="1" x14ac:dyDescent="0.2">
      <c r="I18" s="3" t="str">
        <f>IF(AND($D$6&lt;&gt;"",$F$6&lt;&gt;"",$B$4="Temperature"),IF(AND(C6="Degrees Fahrenheit",F6="Degrees Celsius"),ROUND(0.55555*(B6-32),2),IF(AND(C6="Degrees Fahrenheit",F6="Degrees Fahrenheit"),B6,IF(AND(C6="Degrees Celsius",F6="Degrees Celsius"),B6,IF(AND(C6="Degrees Celsius",F6="Degrees Fahrenheit"),ROUND((1.8*B6)+32,2),IF(AND(C6="Degrees Kelvin",F6="Degrees Kelvin"),B6,IF(AND(C6="Degrees Rankine",F6="Degrees Rankine"),B6,IF(AND(C6="Degrees Fahrenheit",F6="Degrees Kelvin"),ROUND((0.55555*B6)+255.37,2),IF(AND(C6="Degrees Fahrenheit",F6="Degrees Rankine"),B6+459.67,IF(AND(C6="Degrees Kelvin",F6="Degrees Fahrenheit"),ROUND(1.8*(B6-255.37),2),IF(AND(C6="Degrees Rankine",F6="Degrees Fahrenheit"),ROUND(B6-459.67,2),IF(AND(C6="Degrees Celsius",F6="Degrees Kelvin"),ROUND(B6+273.15,2),IF(AND(C6="Degrees Celsius",F6="Degrees Rankine"),ROUND(1.8*(B6+491.67),2),IF(AND(C6="Degrees Kelvin",F6="Degrees Celsius"),ROUND(B6-273.15,2),IF(AND(C6="Degrees Rankine",F6="Degrees Celsius"),ROUND(0.55555*(B6-491.67),2),IF(AND(C6="Degrees Kelvin",F6="Degrees Rankine"),ROUND(1.8*B6,2),IF(AND(C6="Degrees Rankine",F6="Degrees Kelvin"),ROUND(0.55555*B6,2),"")))))))))))))))),"")</f>
        <v/>
      </c>
      <c r="K18" s="1"/>
    </row>
    <row r="19" spans="8:11" ht="18" hidden="1" customHeight="1" x14ac:dyDescent="0.2">
      <c r="H19" s="8" t="s">
        <v>72</v>
      </c>
      <c r="I19" s="8" t="s">
        <v>9</v>
      </c>
      <c r="K19" s="1"/>
    </row>
    <row r="20" spans="8:11" ht="18" hidden="1" customHeight="1" x14ac:dyDescent="0.2">
      <c r="H20" s="3" t="str">
        <f t="array" ref="H20">IFERROR(INDEX(Lookup!$S$2:$S$65,SMALL(IF((Lookup!$T$2:$T$65=C6)*(Lookup!$U$2:$U$65=F6),ROW($2:$65)-ROW($1:$1)),ROW($A1))),"")</f>
        <v/>
      </c>
      <c r="I20" s="3" t="str">
        <f>IF(AND($D$6&lt;&gt;"",$F$6&lt;&gt;"",$B$4="Time"),$B$6*H20,"")</f>
        <v/>
      </c>
      <c r="K20" s="1"/>
    </row>
    <row r="21" spans="8:11" ht="18" hidden="1" customHeight="1" x14ac:dyDescent="0.2">
      <c r="H21" s="8" t="s">
        <v>144</v>
      </c>
      <c r="I21" s="8" t="s">
        <v>9</v>
      </c>
    </row>
    <row r="22" spans="8:11" ht="18" hidden="1" customHeight="1" x14ac:dyDescent="0.2">
      <c r="H22" s="3" t="str">
        <f t="array" ref="H22">IFERROR(INDEX(Lookup!$AE$2:$AE$65,SMALL(IF((Lookup!$AF$2:$AF$65=C6)*(Lookup!$AG$2:$AG$65=F6),ROW($2:$65)-ROW($1:$1)),ROW($A1))),"")</f>
        <v/>
      </c>
      <c r="I22" s="3" t="str">
        <f>IF(AND($D$6&lt;&gt;"",$F$6&lt;&gt;"",$B$4="Mass"),$B$6*H22,"")</f>
        <v/>
      </c>
    </row>
    <row r="23" spans="8:11" ht="18" hidden="1" customHeight="1" x14ac:dyDescent="0.2">
      <c r="I23" s="8" t="s">
        <v>73</v>
      </c>
    </row>
    <row r="24" spans="8:11" ht="18" hidden="1" customHeight="1" x14ac:dyDescent="0.2">
      <c r="I24" s="3" t="b">
        <f>IFERROR(IF(I6&lt;&gt;"",I6,IF(I8&lt;&gt;"",I8,IF(I10&lt;&gt;"",I10,IF(I12&lt;&gt;"",I12,IF(I14&lt;&gt;"",I14,IF(I16&lt;&gt;"",I16,IF(I18&lt;&gt;"",I18,IF(I20&lt;&gt;"",I20,IF(I22&lt;&gt;"",I22))))))))),"")</f>
        <v>0</v>
      </c>
    </row>
  </sheetData>
  <sheetProtection password="CC39" sheet="1" objects="1" scenarios="1" selectLockedCells="1"/>
  <mergeCells count="1">
    <mergeCell ref="B4:C4"/>
  </mergeCells>
  <dataValidations count="3">
    <dataValidation type="list" allowBlank="1" showInputMessage="1" showErrorMessage="1" sqref="B4">
      <formula1>Select_Type_of_Conversion</formula1>
    </dataValidation>
    <dataValidation type="list" allowBlank="1" showInputMessage="1" showErrorMessage="1" sqref="C6">
      <formula1>INDIRECT(B4)</formula1>
    </dataValidation>
    <dataValidation type="list" allowBlank="1" showInputMessage="1" showErrorMessage="1" sqref="F6">
      <formula1>INDIRECT(B4)</formula1>
    </dataValidation>
  </dataValidations>
  <printOptions horizontalCentered="1"/>
  <pageMargins left="0.5" right="0.5" top="0.5" bottom="0.8" header="0.3" footer="0.3"/>
  <pageSetup scale="89" fitToHeight="0" orientation="portrait" r:id="rId1"/>
  <headerFooter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V145"/>
  <sheetViews>
    <sheetView topLeftCell="T31" workbookViewId="0">
      <selection activeCell="AE66" sqref="AE66"/>
    </sheetView>
  </sheetViews>
  <sheetFormatPr defaultRowHeight="15" x14ac:dyDescent="0.2"/>
  <cols>
    <col min="1" max="1" width="12" style="7" bestFit="1" customWidth="1"/>
    <col min="2" max="3" width="24.140625" style="7" bestFit="1" customWidth="1"/>
    <col min="4" max="4" width="8.7109375" style="7" customWidth="1"/>
    <col min="5" max="5" width="11.5703125" style="7" customWidth="1"/>
    <col min="6" max="7" width="17.5703125" style="7" bestFit="1" customWidth="1"/>
    <col min="8" max="8" width="9.140625" style="7"/>
    <col min="9" max="9" width="12" style="7" bestFit="1" customWidth="1"/>
    <col min="10" max="10" width="18.7109375" style="7" bestFit="1" customWidth="1"/>
    <col min="11" max="11" width="22" style="7" bestFit="1" customWidth="1"/>
    <col min="12" max="12" width="9.140625" style="7"/>
    <col min="13" max="15" width="12" style="7" bestFit="1" customWidth="1"/>
    <col min="16" max="16" width="9.140625" style="7"/>
    <col min="17" max="17" width="18.7109375" style="7" bestFit="1" customWidth="1"/>
    <col min="18" max="18" width="9.140625" style="7"/>
    <col min="19" max="19" width="12" style="7" bestFit="1" customWidth="1"/>
    <col min="20" max="21" width="12.140625" style="7" bestFit="1" customWidth="1"/>
    <col min="22" max="22" width="9.140625" style="7"/>
    <col min="23" max="23" width="12" style="7" bestFit="1" customWidth="1"/>
    <col min="24" max="25" width="19" style="7" bestFit="1" customWidth="1"/>
    <col min="26" max="26" width="9.140625" style="7"/>
    <col min="27" max="27" width="11" style="7" bestFit="1" customWidth="1"/>
    <col min="28" max="29" width="27.42578125" style="7" bestFit="1" customWidth="1"/>
    <col min="30" max="30" width="9.140625" style="7"/>
    <col min="31" max="31" width="12" style="7" bestFit="1" customWidth="1"/>
    <col min="32" max="32" width="13" style="7" customWidth="1"/>
    <col min="33" max="33" width="14.42578125" style="7" customWidth="1"/>
    <col min="34" max="74" width="9.140625" style="7"/>
  </cols>
  <sheetData>
    <row r="1" spans="1:33" x14ac:dyDescent="0.2">
      <c r="A1" s="16" t="s">
        <v>1</v>
      </c>
      <c r="B1" s="16" t="s">
        <v>6</v>
      </c>
      <c r="C1" s="16" t="s">
        <v>7</v>
      </c>
      <c r="D1" s="16"/>
      <c r="E1" s="16" t="s">
        <v>1</v>
      </c>
      <c r="F1" s="16" t="s">
        <v>37</v>
      </c>
      <c r="G1" s="16" t="s">
        <v>38</v>
      </c>
      <c r="I1" s="16" t="s">
        <v>1</v>
      </c>
      <c r="J1" s="16" t="s">
        <v>74</v>
      </c>
      <c r="K1" s="16" t="s">
        <v>75</v>
      </c>
      <c r="M1" s="16" t="s">
        <v>1</v>
      </c>
      <c r="N1" s="16" t="s">
        <v>87</v>
      </c>
      <c r="O1" s="16" t="s">
        <v>88</v>
      </c>
      <c r="Q1" s="16" t="s">
        <v>102</v>
      </c>
      <c r="S1" s="16" t="s">
        <v>1</v>
      </c>
      <c r="T1" s="16" t="s">
        <v>103</v>
      </c>
      <c r="U1" s="16" t="s">
        <v>104</v>
      </c>
      <c r="W1" s="16" t="s">
        <v>1</v>
      </c>
      <c r="X1" s="16" t="s">
        <v>113</v>
      </c>
      <c r="Y1" s="16" t="s">
        <v>114</v>
      </c>
      <c r="AA1" s="16" t="s">
        <v>1</v>
      </c>
      <c r="AB1" s="16" t="s">
        <v>126</v>
      </c>
      <c r="AC1" s="16" t="s">
        <v>127</v>
      </c>
      <c r="AE1" s="16" t="s">
        <v>1</v>
      </c>
      <c r="AF1" s="16" t="s">
        <v>135</v>
      </c>
      <c r="AG1" s="16" t="s">
        <v>136</v>
      </c>
    </row>
    <row r="2" spans="1:33" x14ac:dyDescent="0.2">
      <c r="A2" s="7">
        <v>1</v>
      </c>
      <c r="B2" s="7" t="s">
        <v>3</v>
      </c>
      <c r="C2" s="7" t="s">
        <v>3</v>
      </c>
      <c r="E2" s="7">
        <v>1</v>
      </c>
      <c r="F2" s="7" t="s">
        <v>39</v>
      </c>
      <c r="G2" s="7" t="s">
        <v>39</v>
      </c>
      <c r="I2" s="7">
        <v>1</v>
      </c>
      <c r="J2" s="7" t="s">
        <v>76</v>
      </c>
      <c r="K2" s="7" t="s">
        <v>76</v>
      </c>
      <c r="M2" s="7">
        <v>1</v>
      </c>
      <c r="N2" s="7" t="s">
        <v>89</v>
      </c>
      <c r="O2" s="7" t="s">
        <v>89</v>
      </c>
      <c r="Q2" s="7" t="s">
        <v>98</v>
      </c>
      <c r="S2" s="7">
        <v>1</v>
      </c>
      <c r="T2" s="7" t="s">
        <v>105</v>
      </c>
      <c r="U2" s="7" t="s">
        <v>105</v>
      </c>
      <c r="W2" s="7">
        <v>1</v>
      </c>
      <c r="X2" s="7" t="s">
        <v>116</v>
      </c>
      <c r="Y2" s="7" t="s">
        <v>116</v>
      </c>
      <c r="AA2" s="7">
        <v>1</v>
      </c>
      <c r="AB2" s="7" t="s">
        <v>133</v>
      </c>
      <c r="AC2" s="7" t="s">
        <v>133</v>
      </c>
      <c r="AE2" s="7">
        <v>1</v>
      </c>
      <c r="AF2" s="7" t="s">
        <v>137</v>
      </c>
      <c r="AG2" s="7" t="s">
        <v>137</v>
      </c>
    </row>
    <row r="3" spans="1:33" x14ac:dyDescent="0.2">
      <c r="A3" s="7">
        <v>0.40468700000000002</v>
      </c>
      <c r="B3" s="7" t="s">
        <v>3</v>
      </c>
      <c r="C3" s="7" t="s">
        <v>0</v>
      </c>
      <c r="E3" s="7">
        <v>3.0689E-6</v>
      </c>
      <c r="F3" s="7" t="s">
        <v>39</v>
      </c>
      <c r="G3" s="7" t="s">
        <v>44</v>
      </c>
      <c r="I3" s="7">
        <v>6.9444000000000005E-4</v>
      </c>
      <c r="J3" s="7" t="s">
        <v>76</v>
      </c>
      <c r="K3" s="7" t="s">
        <v>77</v>
      </c>
      <c r="M3" s="7">
        <v>5280</v>
      </c>
      <c r="N3" s="7" t="s">
        <v>89</v>
      </c>
      <c r="O3" s="7" t="s">
        <v>90</v>
      </c>
      <c r="Q3" s="7" t="s">
        <v>99</v>
      </c>
      <c r="S3" s="7">
        <v>1E-3</v>
      </c>
      <c r="T3" s="7" t="s">
        <v>105</v>
      </c>
      <c r="U3" s="7" t="s">
        <v>106</v>
      </c>
      <c r="W3" s="7">
        <v>60</v>
      </c>
      <c r="X3" s="7" t="s">
        <v>116</v>
      </c>
      <c r="Y3" s="7" t="s">
        <v>117</v>
      </c>
      <c r="AA3" s="7">
        <v>1.01325</v>
      </c>
      <c r="AB3" s="7" t="s">
        <v>133</v>
      </c>
      <c r="AC3" s="7" t="s">
        <v>131</v>
      </c>
      <c r="AE3" s="7">
        <v>1000</v>
      </c>
      <c r="AF3" s="7" t="s">
        <v>137</v>
      </c>
      <c r="AG3" s="7" t="s">
        <v>138</v>
      </c>
    </row>
    <row r="4" spans="1:33" x14ac:dyDescent="0.2">
      <c r="A4" s="7">
        <v>40468700</v>
      </c>
      <c r="B4" s="7" t="s">
        <v>3</v>
      </c>
      <c r="C4" s="7" t="s">
        <v>36</v>
      </c>
      <c r="E4" s="7">
        <v>3785.4</v>
      </c>
      <c r="F4" s="7" t="s">
        <v>39</v>
      </c>
      <c r="G4" s="7" t="s">
        <v>40</v>
      </c>
      <c r="I4" s="7">
        <v>1.15741E-5</v>
      </c>
      <c r="J4" s="7" t="s">
        <v>76</v>
      </c>
      <c r="K4" s="7" t="s">
        <v>78</v>
      </c>
      <c r="M4" s="7">
        <v>160934</v>
      </c>
      <c r="N4" s="7" t="s">
        <v>89</v>
      </c>
      <c r="O4" s="7" t="s">
        <v>91</v>
      </c>
      <c r="Q4" s="7" t="s">
        <v>100</v>
      </c>
      <c r="S4" s="7">
        <v>1.666E-5</v>
      </c>
      <c r="T4" s="7" t="s">
        <v>105</v>
      </c>
      <c r="U4" s="7" t="s">
        <v>107</v>
      </c>
      <c r="W4" s="7">
        <v>778.17</v>
      </c>
      <c r="X4" s="7" t="s">
        <v>116</v>
      </c>
      <c r="Y4" s="7" t="s">
        <v>115</v>
      </c>
      <c r="AA4" s="7">
        <v>29.920999999999999</v>
      </c>
      <c r="AB4" s="7" t="s">
        <v>133</v>
      </c>
      <c r="AC4" s="7" t="s">
        <v>129</v>
      </c>
      <c r="AE4" s="7">
        <v>1E-3</v>
      </c>
      <c r="AF4" s="7" t="s">
        <v>137</v>
      </c>
      <c r="AG4" s="7" t="s">
        <v>139</v>
      </c>
    </row>
    <row r="5" spans="1:33" x14ac:dyDescent="0.2">
      <c r="A5" s="7">
        <v>43560</v>
      </c>
      <c r="B5" s="7" t="s">
        <v>3</v>
      </c>
      <c r="C5" s="7" t="s">
        <v>59</v>
      </c>
      <c r="E5" s="7">
        <v>0.13367999999999999</v>
      </c>
      <c r="F5" s="7" t="s">
        <v>39</v>
      </c>
      <c r="G5" s="7" t="s">
        <v>41</v>
      </c>
      <c r="I5" s="7">
        <v>9.9999999999999995E-7</v>
      </c>
      <c r="J5" s="7" t="s">
        <v>76</v>
      </c>
      <c r="K5" s="7" t="s">
        <v>79</v>
      </c>
      <c r="M5" s="7">
        <v>1609340</v>
      </c>
      <c r="N5" s="7" t="s">
        <v>89</v>
      </c>
      <c r="O5" s="7" t="s">
        <v>92</v>
      </c>
      <c r="Q5" s="7" t="s">
        <v>101</v>
      </c>
      <c r="S5" s="7">
        <v>2.7776999999999998E-7</v>
      </c>
      <c r="T5" s="7" t="s">
        <v>105</v>
      </c>
      <c r="U5" s="7" t="s">
        <v>108</v>
      </c>
      <c r="W5" s="7">
        <v>12.9696</v>
      </c>
      <c r="X5" s="7" t="s">
        <v>116</v>
      </c>
      <c r="Y5" s="7" t="s">
        <v>118</v>
      </c>
      <c r="AA5" s="7">
        <v>760</v>
      </c>
      <c r="AB5" s="7" t="s">
        <v>133</v>
      </c>
      <c r="AC5" s="7" t="s">
        <v>128</v>
      </c>
      <c r="AE5" s="7">
        <v>15.432</v>
      </c>
      <c r="AF5" s="7" t="s">
        <v>137</v>
      </c>
      <c r="AG5" s="7" t="s">
        <v>140</v>
      </c>
    </row>
    <row r="6" spans="1:33" x14ac:dyDescent="0.2">
      <c r="A6" s="7">
        <v>6272660</v>
      </c>
      <c r="B6" s="7" t="s">
        <v>3</v>
      </c>
      <c r="C6" s="7" t="s">
        <v>60</v>
      </c>
      <c r="E6" s="7">
        <v>231</v>
      </c>
      <c r="F6" s="7" t="s">
        <v>39</v>
      </c>
      <c r="G6" s="7" t="s">
        <v>42</v>
      </c>
      <c r="I6" s="7">
        <v>0.13367200000000001</v>
      </c>
      <c r="J6" s="7" t="s">
        <v>76</v>
      </c>
      <c r="K6" s="7" t="s">
        <v>80</v>
      </c>
      <c r="M6" s="7">
        <v>1.60934</v>
      </c>
      <c r="N6" s="7" t="s">
        <v>89</v>
      </c>
      <c r="O6" s="7" t="s">
        <v>93</v>
      </c>
      <c r="S6" s="7">
        <v>1.1574E-8</v>
      </c>
      <c r="T6" s="7" t="s">
        <v>105</v>
      </c>
      <c r="U6" s="7" t="s">
        <v>109</v>
      </c>
      <c r="W6" s="7">
        <v>2.3574999999999999E-2</v>
      </c>
      <c r="X6" s="7" t="s">
        <v>116</v>
      </c>
      <c r="Y6" s="7" t="s">
        <v>119</v>
      </c>
      <c r="AA6" s="7">
        <v>101325</v>
      </c>
      <c r="AB6" s="7" t="s">
        <v>133</v>
      </c>
      <c r="AC6" s="7" t="s">
        <v>132</v>
      </c>
      <c r="AE6" s="7">
        <v>3.5274E-2</v>
      </c>
      <c r="AF6" s="7" t="s">
        <v>137</v>
      </c>
      <c r="AG6" s="7" t="s">
        <v>48</v>
      </c>
    </row>
    <row r="7" spans="1:33" x14ac:dyDescent="0.2">
      <c r="A7" s="7">
        <v>4.0468700000000002E-3</v>
      </c>
      <c r="B7" s="7" t="s">
        <v>3</v>
      </c>
      <c r="C7" s="7" t="s">
        <v>61</v>
      </c>
      <c r="E7" s="7">
        <v>3.7854E-3</v>
      </c>
      <c r="F7" s="7" t="s">
        <v>39</v>
      </c>
      <c r="G7" s="7" t="s">
        <v>45</v>
      </c>
      <c r="I7" s="7">
        <v>9.2830000000000004E-5</v>
      </c>
      <c r="J7" s="7" t="s">
        <v>76</v>
      </c>
      <c r="K7" s="7" t="s">
        <v>81</v>
      </c>
      <c r="M7" s="7">
        <v>1609.34</v>
      </c>
      <c r="N7" s="7" t="s">
        <v>89</v>
      </c>
      <c r="O7" s="7" t="s">
        <v>94</v>
      </c>
      <c r="S7" s="7">
        <v>1.6534000000000001E-9</v>
      </c>
      <c r="T7" s="7" t="s">
        <v>105</v>
      </c>
      <c r="U7" s="7" t="s">
        <v>110</v>
      </c>
      <c r="W7" s="7">
        <v>17.576000000000001</v>
      </c>
      <c r="X7" s="7" t="s">
        <v>116</v>
      </c>
      <c r="Y7" s="7" t="s">
        <v>123</v>
      </c>
      <c r="AA7" s="7">
        <v>14.696</v>
      </c>
      <c r="AB7" s="7" t="s">
        <v>133</v>
      </c>
      <c r="AC7" s="7" t="s">
        <v>130</v>
      </c>
      <c r="AE7" s="7">
        <v>2.2046000000000001E-3</v>
      </c>
      <c r="AF7" s="7" t="s">
        <v>137</v>
      </c>
      <c r="AG7" s="7" t="s">
        <v>141</v>
      </c>
    </row>
    <row r="8" spans="1:33" x14ac:dyDescent="0.2">
      <c r="A8" s="7">
        <v>4046.87</v>
      </c>
      <c r="B8" s="7" t="s">
        <v>3</v>
      </c>
      <c r="C8" s="7" t="s">
        <v>62</v>
      </c>
      <c r="E8" s="7">
        <v>4.9509999999999997E-3</v>
      </c>
      <c r="F8" s="7" t="s">
        <v>39</v>
      </c>
      <c r="G8" s="7" t="s">
        <v>43</v>
      </c>
      <c r="I8" s="7">
        <v>1.54713E-6</v>
      </c>
      <c r="J8" s="7" t="s">
        <v>76</v>
      </c>
      <c r="K8" s="7" t="s">
        <v>82</v>
      </c>
      <c r="M8" s="7">
        <v>63360</v>
      </c>
      <c r="N8" s="7" t="s">
        <v>89</v>
      </c>
      <c r="O8" s="7" t="s">
        <v>95</v>
      </c>
      <c r="S8" s="7">
        <v>3.9193999999999999E-10</v>
      </c>
      <c r="T8" s="7" t="s">
        <v>105</v>
      </c>
      <c r="U8" s="7" t="s">
        <v>111</v>
      </c>
      <c r="W8" s="7">
        <v>1.7576000000000001E-2</v>
      </c>
      <c r="X8" s="7" t="s">
        <v>116</v>
      </c>
      <c r="Y8" s="7" t="s">
        <v>124</v>
      </c>
      <c r="AA8" s="7">
        <v>760</v>
      </c>
      <c r="AB8" s="7" t="s">
        <v>133</v>
      </c>
      <c r="AC8" s="7" t="s">
        <v>134</v>
      </c>
      <c r="AE8" s="7">
        <v>1.1023E-6</v>
      </c>
      <c r="AF8" s="7" t="s">
        <v>137</v>
      </c>
      <c r="AG8" s="7" t="s">
        <v>142</v>
      </c>
    </row>
    <row r="9" spans="1:33" x14ac:dyDescent="0.2">
      <c r="A9" s="7">
        <v>1.5625000000000001E-3</v>
      </c>
      <c r="B9" s="7" t="s">
        <v>3</v>
      </c>
      <c r="C9" s="7" t="s">
        <v>63</v>
      </c>
      <c r="E9" s="7">
        <v>3.7854000000000001</v>
      </c>
      <c r="F9" s="7" t="s">
        <v>39</v>
      </c>
      <c r="G9" s="7" t="s">
        <v>46</v>
      </c>
      <c r="I9" s="7">
        <v>3.7854000000000001</v>
      </c>
      <c r="J9" s="7" t="s">
        <v>76</v>
      </c>
      <c r="K9" s="7" t="s">
        <v>83</v>
      </c>
      <c r="M9" s="7">
        <v>1760</v>
      </c>
      <c r="N9" s="7" t="s">
        <v>89</v>
      </c>
      <c r="O9" s="7" t="s">
        <v>96</v>
      </c>
      <c r="S9" s="7">
        <v>4.5899999999999996E-12</v>
      </c>
      <c r="T9" s="7" t="s">
        <v>105</v>
      </c>
      <c r="U9" s="7" t="s">
        <v>112</v>
      </c>
      <c r="W9" s="7">
        <v>1.7575999999999999E-5</v>
      </c>
      <c r="X9" s="7" t="s">
        <v>116</v>
      </c>
      <c r="Y9" s="7" t="s">
        <v>125</v>
      </c>
      <c r="AA9" s="7">
        <v>0.98692299999999999</v>
      </c>
      <c r="AB9" s="7" t="s">
        <v>131</v>
      </c>
      <c r="AC9" s="7" t="s">
        <v>133</v>
      </c>
      <c r="AE9" s="7">
        <v>9.9999999999999995E-7</v>
      </c>
      <c r="AF9" s="7" t="s">
        <v>137</v>
      </c>
      <c r="AG9" s="7" t="s">
        <v>143</v>
      </c>
    </row>
    <row r="10" spans="1:33" x14ac:dyDescent="0.2">
      <c r="A10" s="7">
        <v>4840</v>
      </c>
      <c r="B10" s="7" t="s">
        <v>3</v>
      </c>
      <c r="C10" s="7" t="s">
        <v>64</v>
      </c>
      <c r="E10" s="7">
        <v>3785.4</v>
      </c>
      <c r="F10" s="7" t="s">
        <v>39</v>
      </c>
      <c r="G10" s="7" t="s">
        <v>47</v>
      </c>
      <c r="I10" s="7">
        <v>2.6289999999999998E-3</v>
      </c>
      <c r="J10" s="7" t="s">
        <v>76</v>
      </c>
      <c r="K10" s="7" t="s">
        <v>84</v>
      </c>
      <c r="M10" s="7">
        <v>8</v>
      </c>
      <c r="N10" s="7" t="s">
        <v>89</v>
      </c>
      <c r="O10" s="7" t="s">
        <v>97</v>
      </c>
      <c r="S10" s="7">
        <v>1000</v>
      </c>
      <c r="T10" s="7" t="s">
        <v>106</v>
      </c>
      <c r="U10" s="7" t="s">
        <v>105</v>
      </c>
      <c r="W10" s="7">
        <v>1.6666E-2</v>
      </c>
      <c r="X10" s="7" t="s">
        <v>117</v>
      </c>
      <c r="Y10" s="7" t="s">
        <v>116</v>
      </c>
      <c r="AA10" s="7">
        <v>1</v>
      </c>
      <c r="AB10" s="7" t="s">
        <v>131</v>
      </c>
      <c r="AC10" s="7" t="s">
        <v>131</v>
      </c>
      <c r="AE10" s="7">
        <v>1E-3</v>
      </c>
      <c r="AF10" s="7" t="s">
        <v>138</v>
      </c>
      <c r="AG10" s="7" t="s">
        <v>137</v>
      </c>
    </row>
    <row r="11" spans="1:33" x14ac:dyDescent="0.2">
      <c r="A11" s="7">
        <v>2.4710399999999999</v>
      </c>
      <c r="B11" s="7" t="s">
        <v>0</v>
      </c>
      <c r="C11" s="7" t="s">
        <v>3</v>
      </c>
      <c r="E11" s="7">
        <v>128</v>
      </c>
      <c r="F11" s="7" t="s">
        <v>39</v>
      </c>
      <c r="G11" s="7" t="s">
        <v>48</v>
      </c>
      <c r="I11" s="7">
        <v>4.3812500000000001E-5</v>
      </c>
      <c r="J11" s="7" t="s">
        <v>76</v>
      </c>
      <c r="K11" s="7" t="s">
        <v>85</v>
      </c>
      <c r="M11" s="7">
        <v>1.894E-4</v>
      </c>
      <c r="N11" s="7" t="s">
        <v>90</v>
      </c>
      <c r="O11" s="7" t="s">
        <v>89</v>
      </c>
      <c r="S11" s="7">
        <v>1</v>
      </c>
      <c r="T11" s="7" t="s">
        <v>106</v>
      </c>
      <c r="U11" s="7" t="s">
        <v>106</v>
      </c>
      <c r="W11" s="7">
        <v>1</v>
      </c>
      <c r="X11" s="7" t="s">
        <v>117</v>
      </c>
      <c r="Y11" s="7" t="s">
        <v>117</v>
      </c>
      <c r="AA11" s="7">
        <v>29.53</v>
      </c>
      <c r="AB11" s="7" t="s">
        <v>131</v>
      </c>
      <c r="AC11" s="7" t="s">
        <v>129</v>
      </c>
      <c r="AE11" s="7">
        <v>1</v>
      </c>
      <c r="AF11" s="7" t="s">
        <v>138</v>
      </c>
      <c r="AG11" s="7" t="s">
        <v>138</v>
      </c>
    </row>
    <row r="12" spans="1:33" x14ac:dyDescent="0.2">
      <c r="A12" s="7">
        <v>1</v>
      </c>
      <c r="B12" s="7" t="s">
        <v>0</v>
      </c>
      <c r="C12" s="7" t="s">
        <v>0</v>
      </c>
      <c r="E12" s="7">
        <v>8</v>
      </c>
      <c r="F12" s="7" t="s">
        <v>39</v>
      </c>
      <c r="G12" s="7" t="s">
        <v>49</v>
      </c>
      <c r="I12" s="7">
        <v>1440</v>
      </c>
      <c r="J12" s="7" t="s">
        <v>77</v>
      </c>
      <c r="K12" s="7" t="s">
        <v>76</v>
      </c>
      <c r="M12" s="7">
        <v>1</v>
      </c>
      <c r="N12" s="7" t="s">
        <v>90</v>
      </c>
      <c r="O12" s="7" t="s">
        <v>90</v>
      </c>
      <c r="S12" s="7">
        <v>1.66666E-2</v>
      </c>
      <c r="T12" s="7" t="s">
        <v>106</v>
      </c>
      <c r="U12" s="7" t="s">
        <v>107</v>
      </c>
      <c r="W12" s="7">
        <v>12.9696</v>
      </c>
      <c r="X12" s="7" t="s">
        <v>117</v>
      </c>
      <c r="Y12" s="7" t="s">
        <v>115</v>
      </c>
      <c r="AA12" s="7">
        <v>750</v>
      </c>
      <c r="AB12" s="7" t="s">
        <v>131</v>
      </c>
      <c r="AC12" s="7" t="s">
        <v>128</v>
      </c>
      <c r="AE12" s="7">
        <v>9.9999999999999995E-7</v>
      </c>
      <c r="AF12" s="7" t="s">
        <v>138</v>
      </c>
      <c r="AG12" s="7" t="s">
        <v>139</v>
      </c>
    </row>
    <row r="13" spans="1:33" x14ac:dyDescent="0.2">
      <c r="A13" s="7">
        <v>100000000</v>
      </c>
      <c r="B13" s="7" t="s">
        <v>0</v>
      </c>
      <c r="C13" s="7" t="s">
        <v>36</v>
      </c>
      <c r="E13" s="7">
        <v>4</v>
      </c>
      <c r="F13" s="7" t="s">
        <v>39</v>
      </c>
      <c r="G13" s="7" t="s">
        <v>50</v>
      </c>
      <c r="I13" s="7">
        <v>1</v>
      </c>
      <c r="J13" s="7" t="s">
        <v>77</v>
      </c>
      <c r="K13" s="7" t="s">
        <v>77</v>
      </c>
      <c r="M13" s="7">
        <v>30.48</v>
      </c>
      <c r="N13" s="7" t="s">
        <v>90</v>
      </c>
      <c r="O13" s="7" t="s">
        <v>91</v>
      </c>
      <c r="S13" s="7">
        <v>2.7769999999999997E-4</v>
      </c>
      <c r="T13" s="7" t="s">
        <v>106</v>
      </c>
      <c r="U13" s="7" t="s">
        <v>108</v>
      </c>
      <c r="W13" s="7">
        <v>0.21615999999999999</v>
      </c>
      <c r="X13" s="7" t="s">
        <v>117</v>
      </c>
      <c r="Y13" s="7" t="s">
        <v>118</v>
      </c>
      <c r="AA13" s="7">
        <v>100000</v>
      </c>
      <c r="AB13" s="7" t="s">
        <v>131</v>
      </c>
      <c r="AC13" s="7" t="s">
        <v>132</v>
      </c>
      <c r="AE13" s="7">
        <v>1.5432E-2</v>
      </c>
      <c r="AF13" s="7" t="s">
        <v>138</v>
      </c>
      <c r="AG13" s="7" t="s">
        <v>140</v>
      </c>
    </row>
    <row r="14" spans="1:33" x14ac:dyDescent="0.2">
      <c r="A14" s="7">
        <v>107639</v>
      </c>
      <c r="B14" s="7" t="s">
        <v>0</v>
      </c>
      <c r="C14" s="7" t="s">
        <v>59</v>
      </c>
      <c r="E14" s="7">
        <v>352851</v>
      </c>
      <c r="F14" s="7" t="s">
        <v>44</v>
      </c>
      <c r="G14" s="7" t="s">
        <v>39</v>
      </c>
      <c r="I14" s="7">
        <v>1.66666E-2</v>
      </c>
      <c r="J14" s="7" t="s">
        <v>77</v>
      </c>
      <c r="K14" s="7" t="s">
        <v>78</v>
      </c>
      <c r="M14" s="7">
        <v>304.8</v>
      </c>
      <c r="N14" s="7" t="s">
        <v>90</v>
      </c>
      <c r="O14" s="7" t="s">
        <v>92</v>
      </c>
      <c r="S14" s="7">
        <v>1.1574E-5</v>
      </c>
      <c r="T14" s="7" t="s">
        <v>106</v>
      </c>
      <c r="U14" s="7" t="s">
        <v>109</v>
      </c>
      <c r="W14" s="7">
        <v>3.9290000000000001E-4</v>
      </c>
      <c r="X14" s="7" t="s">
        <v>117</v>
      </c>
      <c r="Y14" s="7" t="s">
        <v>119</v>
      </c>
      <c r="AA14" s="7">
        <v>14.504</v>
      </c>
      <c r="AB14" s="7" t="s">
        <v>131</v>
      </c>
      <c r="AC14" s="7" t="s">
        <v>130</v>
      </c>
      <c r="AE14" s="7">
        <v>3.5274000000000001E-5</v>
      </c>
      <c r="AF14" s="7" t="s">
        <v>138</v>
      </c>
      <c r="AG14" s="7" t="s">
        <v>48</v>
      </c>
    </row>
    <row r="15" spans="1:33" x14ac:dyDescent="0.2">
      <c r="A15" s="7">
        <v>15499993.800000001</v>
      </c>
      <c r="B15" s="7" t="s">
        <v>0</v>
      </c>
      <c r="C15" s="7" t="s">
        <v>60</v>
      </c>
      <c r="E15" s="7">
        <v>1</v>
      </c>
      <c r="F15" s="7" t="s">
        <v>44</v>
      </c>
      <c r="G15" s="7" t="s">
        <v>44</v>
      </c>
      <c r="I15" s="7">
        <v>1.4400000000000001E-3</v>
      </c>
      <c r="J15" s="7" t="s">
        <v>77</v>
      </c>
      <c r="K15" s="7" t="s">
        <v>79</v>
      </c>
      <c r="M15" s="7">
        <v>3.0479999999999998E-4</v>
      </c>
      <c r="N15" s="7" t="s">
        <v>90</v>
      </c>
      <c r="O15" s="7" t="s">
        <v>93</v>
      </c>
      <c r="S15" s="7">
        <v>1.6533999999999999E-6</v>
      </c>
      <c r="T15" s="7" t="s">
        <v>106</v>
      </c>
      <c r="U15" s="7" t="s">
        <v>110</v>
      </c>
      <c r="W15" s="7">
        <v>0.29310000000000003</v>
      </c>
      <c r="X15" s="7" t="s">
        <v>117</v>
      </c>
      <c r="Y15" s="7" t="s">
        <v>123</v>
      </c>
      <c r="AA15" s="7">
        <v>750</v>
      </c>
      <c r="AB15" s="7" t="s">
        <v>131</v>
      </c>
      <c r="AC15" s="7" t="s">
        <v>134</v>
      </c>
      <c r="AE15" s="7">
        <v>2.2046E-6</v>
      </c>
      <c r="AF15" s="7" t="s">
        <v>138</v>
      </c>
      <c r="AG15" s="7" t="s">
        <v>141</v>
      </c>
    </row>
    <row r="16" spans="1:33" x14ac:dyDescent="0.2">
      <c r="A16" s="7">
        <v>0.01</v>
      </c>
      <c r="B16" s="7" t="s">
        <v>0</v>
      </c>
      <c r="C16" s="7" t="s">
        <v>61</v>
      </c>
      <c r="E16" s="7">
        <v>1335682175</v>
      </c>
      <c r="F16" s="7" t="s">
        <v>44</v>
      </c>
      <c r="G16" s="7" t="s">
        <v>40</v>
      </c>
      <c r="I16" s="7">
        <v>192.49</v>
      </c>
      <c r="J16" s="7" t="s">
        <v>77</v>
      </c>
      <c r="K16" s="7" t="s">
        <v>80</v>
      </c>
      <c r="M16" s="7">
        <v>0.30480000000000002</v>
      </c>
      <c r="N16" s="7" t="s">
        <v>90</v>
      </c>
      <c r="O16" s="7" t="s">
        <v>94</v>
      </c>
      <c r="S16" s="7">
        <v>3.9194E-7</v>
      </c>
      <c r="T16" s="7" t="s">
        <v>106</v>
      </c>
      <c r="U16" s="7" t="s">
        <v>111</v>
      </c>
      <c r="W16" s="7">
        <v>2.9310000000000002E-4</v>
      </c>
      <c r="X16" s="7" t="s">
        <v>117</v>
      </c>
      <c r="Y16" s="7" t="s">
        <v>124</v>
      </c>
      <c r="AA16" s="7">
        <v>3.3419999999999998E-2</v>
      </c>
      <c r="AB16" s="7" t="s">
        <v>129</v>
      </c>
      <c r="AC16" s="7" t="s">
        <v>133</v>
      </c>
      <c r="AE16" s="7">
        <v>1.1023E-9</v>
      </c>
      <c r="AF16" s="7" t="s">
        <v>138</v>
      </c>
      <c r="AG16" s="7" t="s">
        <v>142</v>
      </c>
    </row>
    <row r="17" spans="1:33" x14ac:dyDescent="0.2">
      <c r="A17" s="7">
        <v>10000</v>
      </c>
      <c r="B17" s="7" t="s">
        <v>0</v>
      </c>
      <c r="C17" s="7" t="s">
        <v>62</v>
      </c>
      <c r="E17" s="7">
        <v>43560</v>
      </c>
      <c r="F17" s="7" t="s">
        <v>44</v>
      </c>
      <c r="G17" s="7" t="s">
        <v>41</v>
      </c>
      <c r="I17" s="7">
        <v>0.13370000000000001</v>
      </c>
      <c r="J17" s="7" t="s">
        <v>77</v>
      </c>
      <c r="K17" s="7" t="s">
        <v>81</v>
      </c>
      <c r="M17" s="7">
        <v>12</v>
      </c>
      <c r="N17" s="7" t="s">
        <v>90</v>
      </c>
      <c r="O17" s="7" t="s">
        <v>95</v>
      </c>
      <c r="S17" s="7">
        <v>3.1689E-8</v>
      </c>
      <c r="T17" s="7" t="s">
        <v>106</v>
      </c>
      <c r="U17" s="7" t="s">
        <v>112</v>
      </c>
      <c r="W17" s="7">
        <v>2.931E-7</v>
      </c>
      <c r="X17" s="7" t="s">
        <v>117</v>
      </c>
      <c r="Y17" s="7" t="s">
        <v>125</v>
      </c>
      <c r="AA17" s="7">
        <v>3.3860000000000001E-2</v>
      </c>
      <c r="AB17" s="7" t="s">
        <v>129</v>
      </c>
      <c r="AC17" s="7" t="s">
        <v>131</v>
      </c>
      <c r="AE17" s="7">
        <v>1.0000000000000001E-9</v>
      </c>
      <c r="AF17" s="7" t="s">
        <v>138</v>
      </c>
      <c r="AG17" s="7" t="s">
        <v>143</v>
      </c>
    </row>
    <row r="18" spans="1:33" x14ac:dyDescent="0.2">
      <c r="A18" s="7">
        <v>3.8610200000000002E-3</v>
      </c>
      <c r="B18" s="7" t="s">
        <v>0</v>
      </c>
      <c r="C18" s="7" t="s">
        <v>63</v>
      </c>
      <c r="E18" s="7">
        <v>81508581</v>
      </c>
      <c r="F18" s="7" t="s">
        <v>44</v>
      </c>
      <c r="G18" s="7" t="s">
        <v>42</v>
      </c>
      <c r="I18" s="7">
        <v>2.2279999999999999E-3</v>
      </c>
      <c r="J18" s="7" t="s">
        <v>77</v>
      </c>
      <c r="K18" s="7" t="s">
        <v>82</v>
      </c>
      <c r="M18" s="7">
        <v>0.33333000000000002</v>
      </c>
      <c r="N18" s="7" t="s">
        <v>90</v>
      </c>
      <c r="O18" s="7" t="s">
        <v>96</v>
      </c>
      <c r="S18" s="7">
        <v>60000</v>
      </c>
      <c r="T18" s="7" t="s">
        <v>107</v>
      </c>
      <c r="U18" s="7" t="s">
        <v>105</v>
      </c>
      <c r="W18" s="7">
        <v>1.2841E-3</v>
      </c>
      <c r="X18" s="7" t="s">
        <v>115</v>
      </c>
      <c r="Y18" s="7" t="s">
        <v>116</v>
      </c>
      <c r="AA18" s="7">
        <v>1</v>
      </c>
      <c r="AB18" s="7" t="s">
        <v>129</v>
      </c>
      <c r="AC18" s="7" t="s">
        <v>129</v>
      </c>
      <c r="AE18" s="7">
        <v>1000</v>
      </c>
      <c r="AF18" s="7" t="s">
        <v>139</v>
      </c>
      <c r="AG18" s="7" t="s">
        <v>137</v>
      </c>
    </row>
    <row r="19" spans="1:33" x14ac:dyDescent="0.2">
      <c r="A19" s="7">
        <v>11959.9</v>
      </c>
      <c r="B19" s="7" t="s">
        <v>0</v>
      </c>
      <c r="C19" s="7" t="s">
        <v>64</v>
      </c>
      <c r="E19" s="7">
        <v>1233.5</v>
      </c>
      <c r="F19" s="7" t="s">
        <v>44</v>
      </c>
      <c r="G19" s="7" t="s">
        <v>45</v>
      </c>
      <c r="I19" s="7">
        <v>5451</v>
      </c>
      <c r="J19" s="7" t="s">
        <v>77</v>
      </c>
      <c r="K19" s="7" t="s">
        <v>83</v>
      </c>
      <c r="M19" s="7">
        <v>1.51515E-3</v>
      </c>
      <c r="N19" s="7" t="s">
        <v>90</v>
      </c>
      <c r="O19" s="7" t="s">
        <v>97</v>
      </c>
      <c r="S19" s="7">
        <v>60</v>
      </c>
      <c r="T19" s="7" t="s">
        <v>107</v>
      </c>
      <c r="U19" s="7" t="s">
        <v>106</v>
      </c>
      <c r="W19" s="7">
        <v>7.6999999999999999E-2</v>
      </c>
      <c r="X19" s="7" t="s">
        <v>115</v>
      </c>
      <c r="Y19" s="7" t="s">
        <v>117</v>
      </c>
      <c r="AA19" s="7">
        <v>25.4</v>
      </c>
      <c r="AB19" s="7" t="s">
        <v>129</v>
      </c>
      <c r="AC19" s="7" t="s">
        <v>128</v>
      </c>
      <c r="AE19" s="7">
        <v>1000000</v>
      </c>
      <c r="AF19" s="7" t="s">
        <v>139</v>
      </c>
      <c r="AG19" s="7" t="s">
        <v>138</v>
      </c>
    </row>
    <row r="20" spans="1:33" x14ac:dyDescent="0.2">
      <c r="A20" s="7">
        <v>2.4710455E-8</v>
      </c>
      <c r="B20" s="7" t="s">
        <v>36</v>
      </c>
      <c r="C20" s="7" t="s">
        <v>3</v>
      </c>
      <c r="E20" s="7">
        <v>1613.3</v>
      </c>
      <c r="F20" s="7" t="s">
        <v>44</v>
      </c>
      <c r="G20" s="7" t="s">
        <v>43</v>
      </c>
      <c r="I20" s="7">
        <v>3.7854000000000001</v>
      </c>
      <c r="J20" s="7" t="s">
        <v>77</v>
      </c>
      <c r="K20" s="7" t="s">
        <v>84</v>
      </c>
      <c r="M20" s="7">
        <v>6.2140000000000001E-6</v>
      </c>
      <c r="N20" s="7" t="s">
        <v>91</v>
      </c>
      <c r="O20" s="7" t="s">
        <v>89</v>
      </c>
      <c r="S20" s="7">
        <v>1</v>
      </c>
      <c r="T20" s="7" t="s">
        <v>107</v>
      </c>
      <c r="U20" s="7" t="s">
        <v>107</v>
      </c>
      <c r="W20" s="7">
        <v>1</v>
      </c>
      <c r="X20" s="7" t="s">
        <v>115</v>
      </c>
      <c r="Y20" s="7" t="s">
        <v>115</v>
      </c>
      <c r="AA20" s="7">
        <v>3386.4</v>
      </c>
      <c r="AB20" s="7" t="s">
        <v>129</v>
      </c>
      <c r="AC20" s="7" t="s">
        <v>132</v>
      </c>
      <c r="AE20" s="7">
        <v>1</v>
      </c>
      <c r="AF20" s="7" t="s">
        <v>139</v>
      </c>
      <c r="AG20" s="7" t="s">
        <v>139</v>
      </c>
    </row>
    <row r="21" spans="1:33" x14ac:dyDescent="0.2">
      <c r="A21" s="7">
        <v>1E-8</v>
      </c>
      <c r="B21" s="7" t="s">
        <v>36</v>
      </c>
      <c r="C21" s="7" t="s">
        <v>0</v>
      </c>
      <c r="E21" s="7">
        <v>1335682.175</v>
      </c>
      <c r="F21" s="7" t="s">
        <v>44</v>
      </c>
      <c r="G21" s="7" t="s">
        <v>46</v>
      </c>
      <c r="I21" s="7">
        <v>6.3089999999999993E-2</v>
      </c>
      <c r="J21" s="7" t="s">
        <v>77</v>
      </c>
      <c r="K21" s="7" t="s">
        <v>85</v>
      </c>
      <c r="M21" s="7">
        <v>3.2808400000000001E-2</v>
      </c>
      <c r="N21" s="7" t="s">
        <v>91</v>
      </c>
      <c r="O21" s="7" t="s">
        <v>90</v>
      </c>
      <c r="S21" s="7">
        <v>1.6666E-2</v>
      </c>
      <c r="T21" s="7" t="s">
        <v>107</v>
      </c>
      <c r="U21" s="7" t="s">
        <v>108</v>
      </c>
      <c r="W21" s="7">
        <v>1.6666E-2</v>
      </c>
      <c r="X21" s="7" t="s">
        <v>115</v>
      </c>
      <c r="Y21" s="7" t="s">
        <v>118</v>
      </c>
      <c r="AA21" s="7">
        <v>0.49114999999999998</v>
      </c>
      <c r="AB21" s="7" t="s">
        <v>129</v>
      </c>
      <c r="AC21" s="7" t="s">
        <v>130</v>
      </c>
      <c r="AE21" s="7">
        <v>15432</v>
      </c>
      <c r="AF21" s="7" t="s">
        <v>139</v>
      </c>
      <c r="AG21" s="7" t="s">
        <v>140</v>
      </c>
    </row>
    <row r="22" spans="1:33" x14ac:dyDescent="0.2">
      <c r="A22" s="7">
        <v>1</v>
      </c>
      <c r="B22" s="7" t="s">
        <v>36</v>
      </c>
      <c r="C22" s="7" t="s">
        <v>36</v>
      </c>
      <c r="E22" s="7">
        <v>1335682175</v>
      </c>
      <c r="F22" s="7" t="s">
        <v>44</v>
      </c>
      <c r="G22" s="7" t="s">
        <v>47</v>
      </c>
      <c r="I22" s="7">
        <v>86400</v>
      </c>
      <c r="J22" s="7" t="s">
        <v>78</v>
      </c>
      <c r="K22" s="7" t="s">
        <v>76</v>
      </c>
      <c r="M22" s="7">
        <v>1</v>
      </c>
      <c r="N22" s="7" t="s">
        <v>91</v>
      </c>
      <c r="O22" s="7" t="s">
        <v>91</v>
      </c>
      <c r="S22" s="7">
        <v>6.9444000000000005E-4</v>
      </c>
      <c r="T22" s="7" t="s">
        <v>107</v>
      </c>
      <c r="U22" s="7" t="s">
        <v>109</v>
      </c>
      <c r="W22" s="7">
        <v>3.0300000000000001E-5</v>
      </c>
      <c r="X22" s="7" t="s">
        <v>115</v>
      </c>
      <c r="Y22" s="7" t="s">
        <v>119</v>
      </c>
      <c r="AA22" s="7">
        <v>25.4</v>
      </c>
      <c r="AB22" s="7" t="s">
        <v>129</v>
      </c>
      <c r="AC22" s="7" t="s">
        <v>134</v>
      </c>
      <c r="AE22" s="7">
        <v>35.274000000000001</v>
      </c>
      <c r="AF22" s="7" t="s">
        <v>139</v>
      </c>
      <c r="AG22" s="7" t="s">
        <v>48</v>
      </c>
    </row>
    <row r="23" spans="1:33" x14ac:dyDescent="0.2">
      <c r="A23" s="7">
        <v>1.0763999999999999E-3</v>
      </c>
      <c r="B23" s="7" t="s">
        <v>36</v>
      </c>
      <c r="C23" s="7" t="s">
        <v>59</v>
      </c>
      <c r="E23" s="7">
        <v>45164928</v>
      </c>
      <c r="F23" s="7" t="s">
        <v>44</v>
      </c>
      <c r="G23" s="7" t="s">
        <v>48</v>
      </c>
      <c r="I23" s="7">
        <v>60</v>
      </c>
      <c r="J23" s="7" t="s">
        <v>78</v>
      </c>
      <c r="K23" s="7" t="s">
        <v>77</v>
      </c>
      <c r="M23" s="7">
        <v>10</v>
      </c>
      <c r="N23" s="7" t="s">
        <v>91</v>
      </c>
      <c r="O23" s="7" t="s">
        <v>92</v>
      </c>
      <c r="S23" s="7">
        <v>9.9205999999999999E-5</v>
      </c>
      <c r="T23" s="7" t="s">
        <v>107</v>
      </c>
      <c r="U23" s="7" t="s">
        <v>110</v>
      </c>
      <c r="W23" s="7">
        <v>2.2596999999999999E-2</v>
      </c>
      <c r="X23" s="7" t="s">
        <v>115</v>
      </c>
      <c r="Y23" s="7" t="s">
        <v>123</v>
      </c>
      <c r="AA23" s="7">
        <v>1.3158E-3</v>
      </c>
      <c r="AB23" s="7" t="s">
        <v>128</v>
      </c>
      <c r="AC23" s="7" t="s">
        <v>133</v>
      </c>
      <c r="AE23" s="7">
        <v>2.2046000000000001</v>
      </c>
      <c r="AF23" s="7" t="s">
        <v>139</v>
      </c>
      <c r="AG23" s="7" t="s">
        <v>141</v>
      </c>
    </row>
    <row r="24" spans="1:33" x14ac:dyDescent="0.2">
      <c r="A24" s="7">
        <v>0.155</v>
      </c>
      <c r="B24" s="7" t="s">
        <v>36</v>
      </c>
      <c r="C24" s="7" t="s">
        <v>60</v>
      </c>
      <c r="E24" s="7">
        <v>2822808</v>
      </c>
      <c r="F24" s="7" t="s">
        <v>44</v>
      </c>
      <c r="G24" s="7" t="s">
        <v>49</v>
      </c>
      <c r="I24" s="7">
        <v>1</v>
      </c>
      <c r="J24" s="7" t="s">
        <v>78</v>
      </c>
      <c r="K24" s="7" t="s">
        <v>78</v>
      </c>
      <c r="M24" s="7">
        <v>1.0000000000000001E-5</v>
      </c>
      <c r="N24" s="7" t="s">
        <v>91</v>
      </c>
      <c r="O24" s="7" t="s">
        <v>93</v>
      </c>
      <c r="S24" s="7">
        <v>2.3515000000000001E-5</v>
      </c>
      <c r="T24" s="7" t="s">
        <v>107</v>
      </c>
      <c r="U24" s="7" t="s">
        <v>111</v>
      </c>
      <c r="W24" s="7">
        <v>2.2597000000000002E-6</v>
      </c>
      <c r="X24" s="7" t="s">
        <v>115</v>
      </c>
      <c r="Y24" s="7" t="s">
        <v>124</v>
      </c>
      <c r="AA24" s="7">
        <v>1.3332000000000001E-3</v>
      </c>
      <c r="AB24" s="7" t="s">
        <v>128</v>
      </c>
      <c r="AC24" s="7" t="s">
        <v>131</v>
      </c>
      <c r="AE24" s="7">
        <v>1.1023000000000001E-3</v>
      </c>
      <c r="AF24" s="7" t="s">
        <v>139</v>
      </c>
      <c r="AG24" s="7" t="s">
        <v>142</v>
      </c>
    </row>
    <row r="25" spans="1:33" x14ac:dyDescent="0.2">
      <c r="A25" s="7">
        <v>1E-10</v>
      </c>
      <c r="B25" s="7" t="s">
        <v>36</v>
      </c>
      <c r="C25" s="7" t="s">
        <v>61</v>
      </c>
      <c r="E25" s="7">
        <v>1411404</v>
      </c>
      <c r="F25" s="7" t="s">
        <v>44</v>
      </c>
      <c r="G25" s="7" t="s">
        <v>50</v>
      </c>
      <c r="I25" s="7">
        <v>0.86399999999999999</v>
      </c>
      <c r="J25" s="7" t="s">
        <v>78</v>
      </c>
      <c r="K25" s="7" t="s">
        <v>79</v>
      </c>
      <c r="M25" s="7">
        <v>0.01</v>
      </c>
      <c r="N25" s="7" t="s">
        <v>91</v>
      </c>
      <c r="O25" s="7" t="s">
        <v>94</v>
      </c>
      <c r="S25" s="7">
        <v>1.9013300000000001E-6</v>
      </c>
      <c r="T25" s="7" t="s">
        <v>107</v>
      </c>
      <c r="U25" s="7" t="s">
        <v>112</v>
      </c>
      <c r="W25" s="7">
        <v>2.2597E-8</v>
      </c>
      <c r="X25" s="7" t="s">
        <v>115</v>
      </c>
      <c r="Y25" s="7" t="s">
        <v>125</v>
      </c>
      <c r="AA25" s="7">
        <v>3.9370000000000002E-2</v>
      </c>
      <c r="AB25" s="7" t="s">
        <v>128</v>
      </c>
      <c r="AC25" s="7" t="s">
        <v>129</v>
      </c>
      <c r="AE25" s="7">
        <v>1E-3</v>
      </c>
      <c r="AF25" s="7" t="s">
        <v>139</v>
      </c>
      <c r="AG25" s="7" t="s">
        <v>143</v>
      </c>
    </row>
    <row r="26" spans="1:33" x14ac:dyDescent="0.2">
      <c r="A26" s="7">
        <v>1E-4</v>
      </c>
      <c r="B26" s="7" t="s">
        <v>36</v>
      </c>
      <c r="C26" s="7" t="s">
        <v>62</v>
      </c>
      <c r="E26" s="7">
        <v>2.6416999999999999E-4</v>
      </c>
      <c r="F26" s="7" t="s">
        <v>40</v>
      </c>
      <c r="G26" s="7" t="s">
        <v>39</v>
      </c>
      <c r="I26" s="7">
        <v>11550</v>
      </c>
      <c r="J26" s="7" t="s">
        <v>78</v>
      </c>
      <c r="K26" s="7" t="s">
        <v>80</v>
      </c>
      <c r="M26" s="7">
        <v>0.39370100000000002</v>
      </c>
      <c r="N26" s="7" t="s">
        <v>91</v>
      </c>
      <c r="O26" s="7" t="s">
        <v>95</v>
      </c>
      <c r="S26" s="7">
        <v>3600000</v>
      </c>
      <c r="T26" s="7" t="s">
        <v>108</v>
      </c>
      <c r="U26" s="7" t="s">
        <v>105</v>
      </c>
      <c r="W26" s="7">
        <v>7.7045000000000002E-2</v>
      </c>
      <c r="X26" s="7" t="s">
        <v>118</v>
      </c>
      <c r="Y26" s="7" t="s">
        <v>116</v>
      </c>
      <c r="AA26" s="7">
        <v>1</v>
      </c>
      <c r="AB26" s="7" t="s">
        <v>128</v>
      </c>
      <c r="AC26" s="7" t="s">
        <v>128</v>
      </c>
      <c r="AE26" s="7">
        <v>6.4798999999999995E-2</v>
      </c>
      <c r="AF26" s="7" t="s">
        <v>140</v>
      </c>
      <c r="AG26" s="7" t="s">
        <v>137</v>
      </c>
    </row>
    <row r="27" spans="1:33" x14ac:dyDescent="0.2">
      <c r="A27" s="7">
        <v>3.8610000000000003E-11</v>
      </c>
      <c r="B27" s="7" t="s">
        <v>36</v>
      </c>
      <c r="C27" s="7" t="s">
        <v>63</v>
      </c>
      <c r="E27" s="7">
        <v>7.4866999999999996E-10</v>
      </c>
      <c r="F27" s="7" t="s">
        <v>40</v>
      </c>
      <c r="G27" s="7" t="s">
        <v>44</v>
      </c>
      <c r="I27" s="7">
        <v>8.0207999999999995</v>
      </c>
      <c r="J27" s="7" t="s">
        <v>78</v>
      </c>
      <c r="K27" s="7" t="s">
        <v>81</v>
      </c>
      <c r="M27" s="7">
        <v>1.0936E-2</v>
      </c>
      <c r="N27" s="7" t="s">
        <v>91</v>
      </c>
      <c r="O27" s="7" t="s">
        <v>96</v>
      </c>
      <c r="S27" s="7">
        <v>3600</v>
      </c>
      <c r="T27" s="7" t="s">
        <v>108</v>
      </c>
      <c r="U27" s="7" t="s">
        <v>106</v>
      </c>
      <c r="W27" s="7">
        <v>4.6227</v>
      </c>
      <c r="X27" s="7" t="s">
        <v>118</v>
      </c>
      <c r="Y27" s="7" t="s">
        <v>117</v>
      </c>
      <c r="AA27" s="7">
        <v>133.32</v>
      </c>
      <c r="AB27" s="7" t="s">
        <v>128</v>
      </c>
      <c r="AC27" s="7" t="s">
        <v>132</v>
      </c>
      <c r="AE27" s="7">
        <v>64.799000000000007</v>
      </c>
      <c r="AF27" s="7" t="s">
        <v>140</v>
      </c>
      <c r="AG27" s="7" t="s">
        <v>138</v>
      </c>
    </row>
    <row r="28" spans="1:33" x14ac:dyDescent="0.2">
      <c r="A28" s="7">
        <v>1.1959999999999999E-4</v>
      </c>
      <c r="B28" s="7" t="s">
        <v>36</v>
      </c>
      <c r="C28" s="7" t="s">
        <v>64</v>
      </c>
      <c r="E28" s="7">
        <v>1</v>
      </c>
      <c r="F28" s="7" t="s">
        <v>40</v>
      </c>
      <c r="G28" s="7" t="s">
        <v>40</v>
      </c>
      <c r="I28" s="7">
        <v>0.13370000000000001</v>
      </c>
      <c r="J28" s="7" t="s">
        <v>78</v>
      </c>
      <c r="K28" s="7" t="s">
        <v>82</v>
      </c>
      <c r="M28" s="7">
        <v>4.9709999999999997E-5</v>
      </c>
      <c r="N28" s="7" t="s">
        <v>91</v>
      </c>
      <c r="O28" s="7" t="s">
        <v>97</v>
      </c>
      <c r="S28" s="7">
        <v>60</v>
      </c>
      <c r="T28" s="7" t="s">
        <v>108</v>
      </c>
      <c r="U28" s="7" t="s">
        <v>107</v>
      </c>
      <c r="W28" s="7">
        <v>60</v>
      </c>
      <c r="X28" s="7" t="s">
        <v>118</v>
      </c>
      <c r="Y28" s="7" t="s">
        <v>115</v>
      </c>
      <c r="AA28" s="7">
        <v>1.9337E-2</v>
      </c>
      <c r="AB28" s="7" t="s">
        <v>128</v>
      </c>
      <c r="AC28" s="7" t="s">
        <v>130</v>
      </c>
      <c r="AE28" s="7">
        <v>6.4799000000000001E-5</v>
      </c>
      <c r="AF28" s="7" t="s">
        <v>140</v>
      </c>
      <c r="AG28" s="7" t="s">
        <v>139</v>
      </c>
    </row>
    <row r="29" spans="1:33" x14ac:dyDescent="0.2">
      <c r="A29" s="7">
        <v>2.29568E-5</v>
      </c>
      <c r="B29" s="7" t="s">
        <v>59</v>
      </c>
      <c r="C29" s="7" t="s">
        <v>3</v>
      </c>
      <c r="E29" s="7">
        <v>3.5315000000000003E-5</v>
      </c>
      <c r="F29" s="7" t="s">
        <v>40</v>
      </c>
      <c r="G29" s="7" t="s">
        <v>41</v>
      </c>
      <c r="I29" s="7">
        <v>327067.2</v>
      </c>
      <c r="J29" s="7" t="s">
        <v>78</v>
      </c>
      <c r="K29" s="7" t="s">
        <v>83</v>
      </c>
      <c r="M29" s="7">
        <v>6.2139999999999999E-7</v>
      </c>
      <c r="N29" s="7" t="s">
        <v>92</v>
      </c>
      <c r="O29" s="7" t="s">
        <v>89</v>
      </c>
      <c r="S29" s="7">
        <v>1</v>
      </c>
      <c r="T29" s="7" t="s">
        <v>108</v>
      </c>
      <c r="U29" s="7" t="s">
        <v>108</v>
      </c>
      <c r="W29" s="7">
        <v>1</v>
      </c>
      <c r="X29" s="7" t="s">
        <v>118</v>
      </c>
      <c r="Y29" s="7" t="s">
        <v>118</v>
      </c>
      <c r="AA29" s="7">
        <v>1</v>
      </c>
      <c r="AB29" s="7" t="s">
        <v>128</v>
      </c>
      <c r="AC29" s="7" t="s">
        <v>134</v>
      </c>
      <c r="AE29" s="7">
        <v>1</v>
      </c>
      <c r="AF29" s="7" t="s">
        <v>140</v>
      </c>
      <c r="AG29" s="7" t="s">
        <v>140</v>
      </c>
    </row>
    <row r="30" spans="1:33" x14ac:dyDescent="0.2">
      <c r="A30" s="7">
        <v>9.2903399999999992E-6</v>
      </c>
      <c r="B30" s="7" t="s">
        <v>59</v>
      </c>
      <c r="C30" s="7" t="s">
        <v>0</v>
      </c>
      <c r="E30" s="7">
        <v>6.1024000000000002E-2</v>
      </c>
      <c r="F30" s="7" t="s">
        <v>40</v>
      </c>
      <c r="G30" s="7" t="s">
        <v>42</v>
      </c>
      <c r="I30" s="7">
        <v>227.13</v>
      </c>
      <c r="J30" s="7" t="s">
        <v>78</v>
      </c>
      <c r="K30" s="7" t="s">
        <v>84</v>
      </c>
      <c r="M30" s="7">
        <v>3.2807999999999999E-3</v>
      </c>
      <c r="N30" s="7" t="s">
        <v>92</v>
      </c>
      <c r="O30" s="7" t="s">
        <v>90</v>
      </c>
      <c r="S30" s="7">
        <v>4.1666000000000002E-2</v>
      </c>
      <c r="T30" s="7" t="s">
        <v>108</v>
      </c>
      <c r="U30" s="7" t="s">
        <v>109</v>
      </c>
      <c r="W30" s="7">
        <v>1.8182000000000001E-3</v>
      </c>
      <c r="X30" s="7" t="s">
        <v>118</v>
      </c>
      <c r="Y30" s="7" t="s">
        <v>119</v>
      </c>
      <c r="AA30" s="7">
        <v>9.8692000000000003E-6</v>
      </c>
      <c r="AB30" s="7" t="s">
        <v>132</v>
      </c>
      <c r="AC30" s="7" t="s">
        <v>133</v>
      </c>
      <c r="AE30" s="7">
        <v>2.2856999999999999E-3</v>
      </c>
      <c r="AF30" s="7" t="s">
        <v>140</v>
      </c>
      <c r="AG30" s="7" t="s">
        <v>48</v>
      </c>
    </row>
    <row r="31" spans="1:33" x14ac:dyDescent="0.2">
      <c r="A31" s="7">
        <v>929.03399999999999</v>
      </c>
      <c r="B31" s="7" t="s">
        <v>59</v>
      </c>
      <c r="C31" s="7" t="s">
        <v>36</v>
      </c>
      <c r="E31" s="7">
        <v>9.9999999999999995E-7</v>
      </c>
      <c r="F31" s="7" t="s">
        <v>40</v>
      </c>
      <c r="G31" s="7" t="s">
        <v>45</v>
      </c>
      <c r="I31" s="7">
        <v>3.7854000000000001</v>
      </c>
      <c r="J31" s="7" t="s">
        <v>78</v>
      </c>
      <c r="K31" s="7" t="s">
        <v>85</v>
      </c>
      <c r="M31" s="7">
        <v>0.1</v>
      </c>
      <c r="N31" s="7" t="s">
        <v>92</v>
      </c>
      <c r="O31" s="7" t="s">
        <v>91</v>
      </c>
      <c r="S31" s="7">
        <v>5.9524000000000001E-3</v>
      </c>
      <c r="T31" s="7" t="s">
        <v>108</v>
      </c>
      <c r="U31" s="7" t="s">
        <v>110</v>
      </c>
      <c r="W31" s="7">
        <v>1.3557999999999999</v>
      </c>
      <c r="X31" s="7" t="s">
        <v>118</v>
      </c>
      <c r="Y31" s="7" t="s">
        <v>123</v>
      </c>
      <c r="AA31" s="7">
        <v>1.0000000000000001E-5</v>
      </c>
      <c r="AB31" s="7" t="s">
        <v>132</v>
      </c>
      <c r="AC31" s="7" t="s">
        <v>131</v>
      </c>
      <c r="AE31" s="7">
        <v>1.4286E-4</v>
      </c>
      <c r="AF31" s="7" t="s">
        <v>140</v>
      </c>
      <c r="AG31" s="7" t="s">
        <v>141</v>
      </c>
    </row>
    <row r="32" spans="1:33" x14ac:dyDescent="0.2">
      <c r="A32" s="7">
        <v>1</v>
      </c>
      <c r="B32" s="7" t="s">
        <v>59</v>
      </c>
      <c r="C32" s="7" t="s">
        <v>59</v>
      </c>
      <c r="E32" s="7">
        <v>1.2077999999999999E-6</v>
      </c>
      <c r="F32" s="7" t="s">
        <v>40</v>
      </c>
      <c r="G32" s="7" t="s">
        <v>43</v>
      </c>
      <c r="I32" s="7">
        <v>1000000</v>
      </c>
      <c r="J32" s="7" t="s">
        <v>79</v>
      </c>
      <c r="K32" s="7" t="s">
        <v>76</v>
      </c>
      <c r="M32" s="7">
        <v>1</v>
      </c>
      <c r="N32" s="7" t="s">
        <v>92</v>
      </c>
      <c r="O32" s="7" t="s">
        <v>92</v>
      </c>
      <c r="S32" s="7">
        <v>1.4109999999999999E-3</v>
      </c>
      <c r="T32" s="7" t="s">
        <v>108</v>
      </c>
      <c r="U32" s="7" t="s">
        <v>111</v>
      </c>
      <c r="W32" s="7">
        <v>1.3558000000000001E-3</v>
      </c>
      <c r="X32" s="7" t="s">
        <v>118</v>
      </c>
      <c r="Y32" s="7" t="s">
        <v>124</v>
      </c>
      <c r="AA32" s="7">
        <v>2.9639999999999999E-4</v>
      </c>
      <c r="AB32" s="7" t="s">
        <v>132</v>
      </c>
      <c r="AC32" s="7" t="s">
        <v>129</v>
      </c>
      <c r="AE32" s="7">
        <v>7.1428999999999997E-8</v>
      </c>
      <c r="AF32" s="7" t="s">
        <v>140</v>
      </c>
      <c r="AG32" s="7" t="s">
        <v>142</v>
      </c>
    </row>
    <row r="33" spans="1:33" x14ac:dyDescent="0.2">
      <c r="A33" s="7">
        <v>144</v>
      </c>
      <c r="B33" s="7" t="s">
        <v>59</v>
      </c>
      <c r="C33" s="7" t="s">
        <v>60</v>
      </c>
      <c r="E33" s="7">
        <v>1E-3</v>
      </c>
      <c r="F33" s="7" t="s">
        <v>40</v>
      </c>
      <c r="G33" s="7" t="s">
        <v>46</v>
      </c>
      <c r="I33" s="7">
        <v>694.44</v>
      </c>
      <c r="J33" s="7" t="s">
        <v>79</v>
      </c>
      <c r="K33" s="7" t="s">
        <v>77</v>
      </c>
      <c r="M33" s="7">
        <v>9.9999999999999995E-7</v>
      </c>
      <c r="N33" s="7" t="s">
        <v>92</v>
      </c>
      <c r="O33" s="7" t="s">
        <v>93</v>
      </c>
      <c r="S33" s="7">
        <v>1.1408000000000001E-4</v>
      </c>
      <c r="T33" s="7" t="s">
        <v>108</v>
      </c>
      <c r="U33" s="7" t="s">
        <v>112</v>
      </c>
      <c r="W33" s="7">
        <v>1.3558E-6</v>
      </c>
      <c r="X33" s="7" t="s">
        <v>118</v>
      </c>
      <c r="Y33" s="7" t="s">
        <v>125</v>
      </c>
      <c r="AA33" s="7">
        <v>7.5285600000000001E-3</v>
      </c>
      <c r="AB33" s="7" t="s">
        <v>132</v>
      </c>
      <c r="AC33" s="7" t="s">
        <v>128</v>
      </c>
      <c r="AE33" s="7">
        <v>6.4798999999999997E-8</v>
      </c>
      <c r="AF33" s="7" t="s">
        <v>140</v>
      </c>
      <c r="AG33" s="7" t="s">
        <v>143</v>
      </c>
    </row>
    <row r="34" spans="1:33" x14ac:dyDescent="0.2">
      <c r="A34" s="7">
        <v>9.2903400000000003E-8</v>
      </c>
      <c r="B34" s="7" t="s">
        <v>59</v>
      </c>
      <c r="C34" s="7" t="s">
        <v>61</v>
      </c>
      <c r="E34" s="7">
        <v>1</v>
      </c>
      <c r="F34" s="7" t="s">
        <v>40</v>
      </c>
      <c r="G34" s="7" t="s">
        <v>47</v>
      </c>
      <c r="I34" s="7">
        <v>11.5741</v>
      </c>
      <c r="J34" s="7" t="s">
        <v>79</v>
      </c>
      <c r="K34" s="7" t="s">
        <v>78</v>
      </c>
      <c r="M34" s="7">
        <v>1E-3</v>
      </c>
      <c r="N34" s="7" t="s">
        <v>92</v>
      </c>
      <c r="O34" s="7" t="s">
        <v>94</v>
      </c>
      <c r="S34" s="7">
        <v>86400000</v>
      </c>
      <c r="T34" s="7" t="s">
        <v>109</v>
      </c>
      <c r="U34" s="7" t="s">
        <v>105</v>
      </c>
      <c r="W34" s="7">
        <v>42.375</v>
      </c>
      <c r="X34" s="7" t="s">
        <v>119</v>
      </c>
      <c r="Y34" s="7" t="s">
        <v>116</v>
      </c>
      <c r="AA34" s="7">
        <v>1</v>
      </c>
      <c r="AB34" s="7" t="s">
        <v>132</v>
      </c>
      <c r="AC34" s="7" t="s">
        <v>132</v>
      </c>
      <c r="AE34" s="7">
        <v>28.349499999999999</v>
      </c>
      <c r="AF34" s="7" t="s">
        <v>48</v>
      </c>
      <c r="AG34" s="7" t="s">
        <v>137</v>
      </c>
    </row>
    <row r="35" spans="1:33" x14ac:dyDescent="0.2">
      <c r="A35" s="7">
        <v>9.2903399999999997E-2</v>
      </c>
      <c r="B35" s="7" t="s">
        <v>59</v>
      </c>
      <c r="C35" s="7" t="s">
        <v>62</v>
      </c>
      <c r="E35" s="7">
        <v>3.3813999999999997E-2</v>
      </c>
      <c r="F35" s="7" t="s">
        <v>40</v>
      </c>
      <c r="G35" s="7" t="s">
        <v>48</v>
      </c>
      <c r="I35" s="7">
        <v>1</v>
      </c>
      <c r="J35" s="7" t="s">
        <v>79</v>
      </c>
      <c r="K35" s="7" t="s">
        <v>79</v>
      </c>
      <c r="M35" s="7">
        <v>3.9370000000000002E-2</v>
      </c>
      <c r="N35" s="7" t="s">
        <v>92</v>
      </c>
      <c r="O35" s="7" t="s">
        <v>95</v>
      </c>
      <c r="S35" s="7">
        <v>86400</v>
      </c>
      <c r="T35" s="7" t="s">
        <v>109</v>
      </c>
      <c r="U35" s="7" t="s">
        <v>106</v>
      </c>
      <c r="W35" s="7">
        <v>2542.5</v>
      </c>
      <c r="X35" s="7" t="s">
        <v>119</v>
      </c>
      <c r="Y35" s="7" t="s">
        <v>117</v>
      </c>
      <c r="AA35" s="7">
        <v>1.4504000000000001E-4</v>
      </c>
      <c r="AB35" s="7" t="s">
        <v>132</v>
      </c>
      <c r="AC35" s="7" t="s">
        <v>130</v>
      </c>
      <c r="AE35" s="7">
        <v>28349.5</v>
      </c>
      <c r="AF35" s="7" t="s">
        <v>48</v>
      </c>
      <c r="AG35" s="7" t="s">
        <v>138</v>
      </c>
    </row>
    <row r="36" spans="1:33" x14ac:dyDescent="0.2">
      <c r="A36" s="7">
        <v>3.58702E-8</v>
      </c>
      <c r="B36" s="7" t="s">
        <v>59</v>
      </c>
      <c r="C36" s="7" t="s">
        <v>63</v>
      </c>
      <c r="E36" s="7">
        <v>2.1134000000000001E-3</v>
      </c>
      <c r="F36" s="7" t="s">
        <v>40</v>
      </c>
      <c r="G36" s="7" t="s">
        <v>49</v>
      </c>
      <c r="I36" s="7">
        <v>133678</v>
      </c>
      <c r="J36" s="7" t="s">
        <v>79</v>
      </c>
      <c r="K36" s="7" t="s">
        <v>80</v>
      </c>
      <c r="M36" s="7">
        <v>1.0935999999999999E-3</v>
      </c>
      <c r="N36" s="7" t="s">
        <v>92</v>
      </c>
      <c r="O36" s="7" t="s">
        <v>96</v>
      </c>
      <c r="S36" s="7">
        <v>1440</v>
      </c>
      <c r="T36" s="7" t="s">
        <v>109</v>
      </c>
      <c r="U36" s="7" t="s">
        <v>107</v>
      </c>
      <c r="W36" s="7">
        <v>33000</v>
      </c>
      <c r="X36" s="7" t="s">
        <v>119</v>
      </c>
      <c r="Y36" s="7" t="s">
        <v>115</v>
      </c>
      <c r="AA36" s="7">
        <v>7.5009999999999999E-3</v>
      </c>
      <c r="AB36" s="7" t="s">
        <v>132</v>
      </c>
      <c r="AC36" s="7" t="s">
        <v>134</v>
      </c>
      <c r="AE36" s="7">
        <v>2.83495E-2</v>
      </c>
      <c r="AF36" s="7" t="s">
        <v>48</v>
      </c>
      <c r="AG36" s="7" t="s">
        <v>139</v>
      </c>
    </row>
    <row r="37" spans="1:33" x14ac:dyDescent="0.2">
      <c r="A37" s="7">
        <v>0.111112</v>
      </c>
      <c r="B37" s="7" t="s">
        <v>59</v>
      </c>
      <c r="C37" s="7" t="s">
        <v>64</v>
      </c>
      <c r="E37" s="7">
        <v>1.0567E-3</v>
      </c>
      <c r="F37" s="7" t="s">
        <v>40</v>
      </c>
      <c r="G37" s="7" t="s">
        <v>50</v>
      </c>
      <c r="I37" s="7">
        <v>92.831999999999994</v>
      </c>
      <c r="J37" s="7" t="s">
        <v>79</v>
      </c>
      <c r="K37" s="7" t="s">
        <v>81</v>
      </c>
      <c r="M37" s="7">
        <v>4.9710000000000003E-6</v>
      </c>
      <c r="N37" s="7" t="s">
        <v>92</v>
      </c>
      <c r="O37" s="7" t="s">
        <v>97</v>
      </c>
      <c r="S37" s="7">
        <v>24</v>
      </c>
      <c r="T37" s="7" t="s">
        <v>109</v>
      </c>
      <c r="U37" s="7" t="s">
        <v>108</v>
      </c>
      <c r="W37" s="7">
        <v>550</v>
      </c>
      <c r="X37" s="7" t="s">
        <v>119</v>
      </c>
      <c r="Y37" s="7" t="s">
        <v>118</v>
      </c>
      <c r="AA37" s="7">
        <v>6.8045999999999995E-2</v>
      </c>
      <c r="AB37" s="7" t="s">
        <v>130</v>
      </c>
      <c r="AC37" s="7" t="s">
        <v>133</v>
      </c>
      <c r="AE37" s="7">
        <v>437.5</v>
      </c>
      <c r="AF37" s="7" t="s">
        <v>48</v>
      </c>
      <c r="AG37" s="7" t="s">
        <v>140</v>
      </c>
    </row>
    <row r="38" spans="1:33" x14ac:dyDescent="0.2">
      <c r="A38" s="7">
        <v>1.5942200000000001E-7</v>
      </c>
      <c r="B38" s="7" t="s">
        <v>60</v>
      </c>
      <c r="C38" s="7" t="s">
        <v>3</v>
      </c>
      <c r="E38" s="7">
        <v>7.4809999999999999</v>
      </c>
      <c r="F38" s="7" t="s">
        <v>41</v>
      </c>
      <c r="G38" s="7" t="s">
        <v>39</v>
      </c>
      <c r="I38" s="7">
        <v>1.5471999999999999</v>
      </c>
      <c r="J38" s="7" t="s">
        <v>79</v>
      </c>
      <c r="K38" s="7" t="s">
        <v>82</v>
      </c>
      <c r="M38" s="7">
        <v>0.62136999999999998</v>
      </c>
      <c r="N38" s="7" t="s">
        <v>93</v>
      </c>
      <c r="O38" s="7" t="s">
        <v>89</v>
      </c>
      <c r="S38" s="7">
        <v>1</v>
      </c>
      <c r="T38" s="7" t="s">
        <v>109</v>
      </c>
      <c r="U38" s="7" t="s">
        <v>109</v>
      </c>
      <c r="W38" s="7">
        <v>1</v>
      </c>
      <c r="X38" s="7" t="s">
        <v>119</v>
      </c>
      <c r="Y38" s="7" t="s">
        <v>119</v>
      </c>
      <c r="AA38" s="7">
        <v>6.8949999999999997E-2</v>
      </c>
      <c r="AB38" s="7" t="s">
        <v>130</v>
      </c>
      <c r="AC38" s="7" t="s">
        <v>131</v>
      </c>
      <c r="AE38" s="7">
        <v>1</v>
      </c>
      <c r="AF38" s="7" t="s">
        <v>48</v>
      </c>
      <c r="AG38" s="7" t="s">
        <v>48</v>
      </c>
    </row>
    <row r="39" spans="1:33" x14ac:dyDescent="0.2">
      <c r="A39" s="7">
        <v>6.4515999999999994E-8</v>
      </c>
      <c r="B39" s="7" t="s">
        <v>60</v>
      </c>
      <c r="C39" s="7" t="s">
        <v>0</v>
      </c>
      <c r="E39" s="7">
        <v>2.2957000000000001E-5</v>
      </c>
      <c r="F39" s="7" t="s">
        <v>41</v>
      </c>
      <c r="G39" s="7" t="s">
        <v>44</v>
      </c>
      <c r="I39" s="7">
        <v>3785400</v>
      </c>
      <c r="J39" s="7" t="s">
        <v>79</v>
      </c>
      <c r="K39" s="7" t="s">
        <v>83</v>
      </c>
      <c r="M39" s="7">
        <v>3280.84</v>
      </c>
      <c r="N39" s="7" t="s">
        <v>93</v>
      </c>
      <c r="O39" s="7" t="s">
        <v>90</v>
      </c>
      <c r="S39" s="7">
        <v>0.14285700000000001</v>
      </c>
      <c r="T39" s="7" t="s">
        <v>109</v>
      </c>
      <c r="U39" s="7" t="s">
        <v>110</v>
      </c>
      <c r="W39" s="7">
        <v>745.7</v>
      </c>
      <c r="X39" s="7" t="s">
        <v>119</v>
      </c>
      <c r="Y39" s="7" t="s">
        <v>123</v>
      </c>
      <c r="AA39" s="7">
        <v>2.036</v>
      </c>
      <c r="AB39" s="7" t="s">
        <v>130</v>
      </c>
      <c r="AC39" s="7" t="s">
        <v>129</v>
      </c>
      <c r="AE39" s="7">
        <v>6.25E-2</v>
      </c>
      <c r="AF39" s="7" t="s">
        <v>48</v>
      </c>
      <c r="AG39" s="7" t="s">
        <v>141</v>
      </c>
    </row>
    <row r="40" spans="1:33" x14ac:dyDescent="0.2">
      <c r="A40" s="7">
        <v>6.4516</v>
      </c>
      <c r="B40" s="7" t="s">
        <v>60</v>
      </c>
      <c r="C40" s="7" t="s">
        <v>36</v>
      </c>
      <c r="E40" s="7">
        <v>28317</v>
      </c>
      <c r="F40" s="7" t="s">
        <v>41</v>
      </c>
      <c r="G40" s="7" t="s">
        <v>40</v>
      </c>
      <c r="I40" s="7">
        <v>2628.75</v>
      </c>
      <c r="J40" s="7" t="s">
        <v>79</v>
      </c>
      <c r="K40" s="7" t="s">
        <v>84</v>
      </c>
      <c r="M40" s="7">
        <v>100000</v>
      </c>
      <c r="N40" s="7" t="s">
        <v>93</v>
      </c>
      <c r="O40" s="7" t="s">
        <v>91</v>
      </c>
      <c r="S40" s="7">
        <v>3.3863999999999998E-2</v>
      </c>
      <c r="T40" s="7" t="s">
        <v>109</v>
      </c>
      <c r="U40" s="7" t="s">
        <v>111</v>
      </c>
      <c r="W40" s="7">
        <v>0.74570000000000003</v>
      </c>
      <c r="X40" s="7" t="s">
        <v>119</v>
      </c>
      <c r="Y40" s="7" t="s">
        <v>124</v>
      </c>
      <c r="AA40" s="7">
        <v>51.715000000000003</v>
      </c>
      <c r="AB40" s="7" t="s">
        <v>130</v>
      </c>
      <c r="AC40" s="7" t="s">
        <v>128</v>
      </c>
      <c r="AE40" s="7">
        <v>3.1250000000000001E-5</v>
      </c>
      <c r="AF40" s="7" t="s">
        <v>48</v>
      </c>
      <c r="AG40" s="7" t="s">
        <v>142</v>
      </c>
    </row>
    <row r="41" spans="1:33" x14ac:dyDescent="0.2">
      <c r="A41" s="7">
        <v>6.9443999999999999E-3</v>
      </c>
      <c r="B41" s="7" t="s">
        <v>60</v>
      </c>
      <c r="C41" s="7" t="s">
        <v>59</v>
      </c>
      <c r="E41" s="7">
        <v>1</v>
      </c>
      <c r="F41" s="7" t="s">
        <v>41</v>
      </c>
      <c r="G41" s="7" t="s">
        <v>41</v>
      </c>
      <c r="I41" s="7">
        <v>43.813000000000002</v>
      </c>
      <c r="J41" s="7" t="s">
        <v>79</v>
      </c>
      <c r="K41" s="7" t="s">
        <v>85</v>
      </c>
      <c r="M41" s="7">
        <v>1000000</v>
      </c>
      <c r="N41" s="7" t="s">
        <v>93</v>
      </c>
      <c r="O41" s="7" t="s">
        <v>92</v>
      </c>
      <c r="S41" s="7">
        <v>2.7379000000000001E-3</v>
      </c>
      <c r="T41" s="7" t="s">
        <v>109</v>
      </c>
      <c r="U41" s="7" t="s">
        <v>112</v>
      </c>
      <c r="W41" s="7">
        <v>7.4569999999999997E-4</v>
      </c>
      <c r="X41" s="7" t="s">
        <v>119</v>
      </c>
      <c r="Y41" s="7" t="s">
        <v>125</v>
      </c>
      <c r="AA41" s="7">
        <v>6894.8</v>
      </c>
      <c r="AB41" s="7" t="s">
        <v>130</v>
      </c>
      <c r="AC41" s="7" t="s">
        <v>132</v>
      </c>
      <c r="AE41" s="7">
        <v>2.8350000000000001E-5</v>
      </c>
      <c r="AF41" s="7" t="s">
        <v>48</v>
      </c>
      <c r="AG41" s="7" t="s">
        <v>143</v>
      </c>
    </row>
    <row r="42" spans="1:33" x14ac:dyDescent="0.2">
      <c r="A42" s="7">
        <v>1</v>
      </c>
      <c r="B42" s="7" t="s">
        <v>60</v>
      </c>
      <c r="C42" s="7" t="s">
        <v>60</v>
      </c>
      <c r="E42" s="7">
        <v>1728</v>
      </c>
      <c r="F42" s="7" t="s">
        <v>41</v>
      </c>
      <c r="G42" s="7" t="s">
        <v>42</v>
      </c>
      <c r="I42" s="7">
        <v>7.4809999999999999</v>
      </c>
      <c r="J42" s="7" t="s">
        <v>80</v>
      </c>
      <c r="K42" s="7" t="s">
        <v>76</v>
      </c>
      <c r="M42" s="7">
        <v>1</v>
      </c>
      <c r="N42" s="7" t="s">
        <v>93</v>
      </c>
      <c r="O42" s="7" t="s">
        <v>93</v>
      </c>
      <c r="S42" s="7">
        <v>604800000</v>
      </c>
      <c r="T42" s="7" t="s">
        <v>110</v>
      </c>
      <c r="U42" s="7" t="s">
        <v>105</v>
      </c>
      <c r="W42" s="7">
        <v>5.6829999999999999E-2</v>
      </c>
      <c r="X42" s="7" t="s">
        <v>120</v>
      </c>
      <c r="Y42" s="7" t="s">
        <v>116</v>
      </c>
      <c r="AA42" s="7">
        <v>1</v>
      </c>
      <c r="AB42" s="7" t="s">
        <v>130</v>
      </c>
      <c r="AC42" s="7" t="s">
        <v>130</v>
      </c>
      <c r="AE42" s="7">
        <v>453.5924</v>
      </c>
      <c r="AF42" s="7" t="s">
        <v>141</v>
      </c>
      <c r="AG42" s="7" t="s">
        <v>137</v>
      </c>
    </row>
    <row r="43" spans="1:33" x14ac:dyDescent="0.2">
      <c r="A43" s="7">
        <v>6.4515999999999997E-10</v>
      </c>
      <c r="B43" s="7" t="s">
        <v>60</v>
      </c>
      <c r="C43" s="7" t="s">
        <v>61</v>
      </c>
      <c r="E43" s="7">
        <v>2.8316999999999998E-2</v>
      </c>
      <c r="F43" s="7" t="s">
        <v>41</v>
      </c>
      <c r="G43" s="7" t="s">
        <v>45</v>
      </c>
      <c r="I43" s="7">
        <v>5.195E-3</v>
      </c>
      <c r="J43" s="7" t="s">
        <v>80</v>
      </c>
      <c r="K43" s="7" t="s">
        <v>77</v>
      </c>
      <c r="M43" s="7">
        <v>1000</v>
      </c>
      <c r="N43" s="7" t="s">
        <v>93</v>
      </c>
      <c r="O43" s="7" t="s">
        <v>94</v>
      </c>
      <c r="S43" s="7">
        <v>604800</v>
      </c>
      <c r="T43" s="7" t="s">
        <v>110</v>
      </c>
      <c r="U43" s="7" t="s">
        <v>106</v>
      </c>
      <c r="W43" s="7">
        <v>3.4119999999999999</v>
      </c>
      <c r="X43" s="7" t="s">
        <v>120</v>
      </c>
      <c r="Y43" s="7" t="s">
        <v>117</v>
      </c>
      <c r="AA43" s="7">
        <v>51.715000000000003</v>
      </c>
      <c r="AB43" s="7" t="s">
        <v>130</v>
      </c>
      <c r="AC43" s="7" t="s">
        <v>134</v>
      </c>
      <c r="AE43" s="7">
        <v>453592.4</v>
      </c>
      <c r="AF43" s="7" t="s">
        <v>141</v>
      </c>
      <c r="AG43" s="7" t="s">
        <v>138</v>
      </c>
    </row>
    <row r="44" spans="1:33" x14ac:dyDescent="0.2">
      <c r="A44" s="7">
        <v>6.4515999999999998E-4</v>
      </c>
      <c r="B44" s="7" t="s">
        <v>60</v>
      </c>
      <c r="C44" s="7" t="s">
        <v>62</v>
      </c>
      <c r="E44" s="7">
        <v>3.7037E-2</v>
      </c>
      <c r="F44" s="7" t="s">
        <v>41</v>
      </c>
      <c r="G44" s="7" t="s">
        <v>43</v>
      </c>
      <c r="I44" s="7">
        <v>8.6589999999999996E-5</v>
      </c>
      <c r="J44" s="7" t="s">
        <v>80</v>
      </c>
      <c r="K44" s="7" t="s">
        <v>78</v>
      </c>
      <c r="M44" s="7">
        <v>39370</v>
      </c>
      <c r="N44" s="7" t="s">
        <v>93</v>
      </c>
      <c r="O44" s="7" t="s">
        <v>95</v>
      </c>
      <c r="S44" s="7">
        <v>10080</v>
      </c>
      <c r="T44" s="7" t="s">
        <v>110</v>
      </c>
      <c r="U44" s="7" t="s">
        <v>107</v>
      </c>
      <c r="W44" s="7">
        <v>44.253999999999998</v>
      </c>
      <c r="X44" s="7" t="s">
        <v>120</v>
      </c>
      <c r="Y44" s="7" t="s">
        <v>115</v>
      </c>
      <c r="AA44" s="7">
        <v>1.3158E-3</v>
      </c>
      <c r="AB44" s="7" t="s">
        <v>134</v>
      </c>
      <c r="AC44" s="7" t="s">
        <v>133</v>
      </c>
      <c r="AE44" s="7">
        <v>0.45359240000000001</v>
      </c>
      <c r="AF44" s="7" t="s">
        <v>141</v>
      </c>
      <c r="AG44" s="7" t="s">
        <v>139</v>
      </c>
    </row>
    <row r="45" spans="1:33" x14ac:dyDescent="0.2">
      <c r="A45" s="7">
        <v>2.4909799999999998E-10</v>
      </c>
      <c r="B45" s="7" t="s">
        <v>60</v>
      </c>
      <c r="C45" s="7" t="s">
        <v>63</v>
      </c>
      <c r="E45" s="7">
        <v>28.3169</v>
      </c>
      <c r="F45" s="7" t="s">
        <v>41</v>
      </c>
      <c r="G45" s="7" t="s">
        <v>46</v>
      </c>
      <c r="I45" s="7">
        <v>7.481E-6</v>
      </c>
      <c r="J45" s="7" t="s">
        <v>80</v>
      </c>
      <c r="K45" s="7" t="s">
        <v>79</v>
      </c>
      <c r="M45" s="7">
        <v>1093.6099999999999</v>
      </c>
      <c r="N45" s="7" t="s">
        <v>93</v>
      </c>
      <c r="O45" s="7" t="s">
        <v>96</v>
      </c>
      <c r="S45" s="7">
        <v>168</v>
      </c>
      <c r="T45" s="7" t="s">
        <v>110</v>
      </c>
      <c r="U45" s="7" t="s">
        <v>108</v>
      </c>
      <c r="W45" s="7">
        <v>0.73755999999999999</v>
      </c>
      <c r="X45" s="7" t="s">
        <v>120</v>
      </c>
      <c r="Y45" s="7" t="s">
        <v>118</v>
      </c>
      <c r="AA45" s="7">
        <v>1.3332000000000001E-3</v>
      </c>
      <c r="AB45" s="7" t="s">
        <v>134</v>
      </c>
      <c r="AC45" s="7" t="s">
        <v>131</v>
      </c>
      <c r="AE45" s="7">
        <v>7000</v>
      </c>
      <c r="AF45" s="7" t="s">
        <v>141</v>
      </c>
      <c r="AG45" s="7" t="s">
        <v>140</v>
      </c>
    </row>
    <row r="46" spans="1:33" x14ac:dyDescent="0.2">
      <c r="A46" s="7">
        <v>7.7160499999999997E-4</v>
      </c>
      <c r="B46" s="7" t="s">
        <v>60</v>
      </c>
      <c r="C46" s="7" t="s">
        <v>64</v>
      </c>
      <c r="E46" s="7">
        <v>28317</v>
      </c>
      <c r="F46" s="7" t="s">
        <v>41</v>
      </c>
      <c r="G46" s="7" t="s">
        <v>47</v>
      </c>
      <c r="I46" s="7">
        <v>1</v>
      </c>
      <c r="J46" s="7" t="s">
        <v>80</v>
      </c>
      <c r="K46" s="7" t="s">
        <v>80</v>
      </c>
      <c r="M46" s="7">
        <v>4.9710000000000001</v>
      </c>
      <c r="N46" s="7" t="s">
        <v>93</v>
      </c>
      <c r="O46" s="7" t="s">
        <v>97</v>
      </c>
      <c r="S46" s="7">
        <v>7</v>
      </c>
      <c r="T46" s="7" t="s">
        <v>110</v>
      </c>
      <c r="U46" s="7" t="s">
        <v>109</v>
      </c>
      <c r="W46" s="7">
        <v>1.341E-3</v>
      </c>
      <c r="X46" s="7" t="s">
        <v>120</v>
      </c>
      <c r="Y46" s="7" t="s">
        <v>119</v>
      </c>
      <c r="AA46" s="7">
        <v>3.9370000000000002E-2</v>
      </c>
      <c r="AB46" s="7" t="s">
        <v>134</v>
      </c>
      <c r="AC46" s="7" t="s">
        <v>129</v>
      </c>
      <c r="AE46" s="7">
        <v>16</v>
      </c>
      <c r="AF46" s="7" t="s">
        <v>141</v>
      </c>
      <c r="AG46" s="7" t="s">
        <v>48</v>
      </c>
    </row>
    <row r="47" spans="1:33" x14ac:dyDescent="0.2">
      <c r="A47" s="7">
        <v>247.10400000000001</v>
      </c>
      <c r="B47" s="7" t="s">
        <v>61</v>
      </c>
      <c r="C47" s="7" t="s">
        <v>3</v>
      </c>
      <c r="E47" s="7">
        <v>957.51</v>
      </c>
      <c r="F47" s="7" t="s">
        <v>41</v>
      </c>
      <c r="G47" s="7" t="s">
        <v>48</v>
      </c>
      <c r="I47" s="7">
        <v>6.9439999999999997E-4</v>
      </c>
      <c r="J47" s="7" t="s">
        <v>80</v>
      </c>
      <c r="K47" s="7" t="s">
        <v>81</v>
      </c>
      <c r="M47" s="7">
        <v>6.2137E-4</v>
      </c>
      <c r="N47" s="7" t="s">
        <v>94</v>
      </c>
      <c r="O47" s="7" t="s">
        <v>89</v>
      </c>
      <c r="S47" s="7">
        <v>1</v>
      </c>
      <c r="T47" s="7" t="s">
        <v>110</v>
      </c>
      <c r="U47" s="7" t="s">
        <v>110</v>
      </c>
      <c r="W47" s="7">
        <v>1</v>
      </c>
      <c r="X47" s="7" t="s">
        <v>120</v>
      </c>
      <c r="Y47" s="7" t="s">
        <v>123</v>
      </c>
      <c r="AA47" s="7">
        <v>1</v>
      </c>
      <c r="AB47" s="7" t="s">
        <v>134</v>
      </c>
      <c r="AC47" s="7" t="s">
        <v>128</v>
      </c>
      <c r="AE47" s="7">
        <v>1</v>
      </c>
      <c r="AF47" s="7" t="s">
        <v>141</v>
      </c>
      <c r="AG47" s="7" t="s">
        <v>141</v>
      </c>
    </row>
    <row r="48" spans="1:33" x14ac:dyDescent="0.2">
      <c r="A48" s="7">
        <v>100</v>
      </c>
      <c r="B48" s="7" t="s">
        <v>61</v>
      </c>
      <c r="C48" s="7" t="s">
        <v>0</v>
      </c>
      <c r="E48" s="7">
        <v>59.844000000000001</v>
      </c>
      <c r="F48" s="7" t="s">
        <v>41</v>
      </c>
      <c r="G48" s="7" t="s">
        <v>49</v>
      </c>
      <c r="I48" s="7">
        <v>1.1569999999999999E-5</v>
      </c>
      <c r="J48" s="7" t="s">
        <v>80</v>
      </c>
      <c r="K48" s="7" t="s">
        <v>82</v>
      </c>
      <c r="M48" s="7">
        <v>3.28084</v>
      </c>
      <c r="N48" s="7" t="s">
        <v>94</v>
      </c>
      <c r="O48" s="7" t="s">
        <v>90</v>
      </c>
      <c r="S48" s="7">
        <v>0.23699999999999999</v>
      </c>
      <c r="T48" s="7" t="s">
        <v>110</v>
      </c>
      <c r="U48" s="7" t="s">
        <v>111</v>
      </c>
      <c r="W48" s="7">
        <v>1E-3</v>
      </c>
      <c r="X48" s="7" t="s">
        <v>120</v>
      </c>
      <c r="Y48" s="7" t="s">
        <v>124</v>
      </c>
      <c r="AA48" s="7">
        <v>133.322</v>
      </c>
      <c r="AB48" s="7" t="s">
        <v>134</v>
      </c>
      <c r="AC48" s="7" t="s">
        <v>132</v>
      </c>
      <c r="AE48" s="7">
        <v>5.0000000000000001E-4</v>
      </c>
      <c r="AF48" s="7" t="s">
        <v>141</v>
      </c>
      <c r="AG48" s="7" t="s">
        <v>142</v>
      </c>
    </row>
    <row r="49" spans="1:33" x14ac:dyDescent="0.2">
      <c r="A49" s="7">
        <v>10000000000</v>
      </c>
      <c r="B49" s="7" t="s">
        <v>61</v>
      </c>
      <c r="C49" s="7" t="s">
        <v>36</v>
      </c>
      <c r="E49" s="7">
        <v>29.922000000000001</v>
      </c>
      <c r="F49" s="7" t="s">
        <v>41</v>
      </c>
      <c r="G49" s="7" t="s">
        <v>50</v>
      </c>
      <c r="I49" s="7">
        <v>283.13299999999998</v>
      </c>
      <c r="J49" s="7" t="s">
        <v>80</v>
      </c>
      <c r="K49" s="7" t="s">
        <v>83</v>
      </c>
      <c r="M49" s="7">
        <v>100</v>
      </c>
      <c r="N49" s="7" t="s">
        <v>94</v>
      </c>
      <c r="O49" s="7" t="s">
        <v>91</v>
      </c>
      <c r="S49" s="7">
        <v>1.9165399999999999E-2</v>
      </c>
      <c r="T49" s="7" t="s">
        <v>110</v>
      </c>
      <c r="U49" s="7" t="s">
        <v>112</v>
      </c>
      <c r="W49" s="7">
        <v>9.9999999999999995E-7</v>
      </c>
      <c r="X49" s="7" t="s">
        <v>120</v>
      </c>
      <c r="Y49" s="7" t="s">
        <v>125</v>
      </c>
      <c r="AA49" s="7">
        <v>1.9337E-2</v>
      </c>
      <c r="AB49" s="7" t="s">
        <v>134</v>
      </c>
      <c r="AC49" s="7" t="s">
        <v>130</v>
      </c>
      <c r="AE49" s="7">
        <v>4.5359000000000003E-4</v>
      </c>
      <c r="AF49" s="7" t="s">
        <v>141</v>
      </c>
      <c r="AG49" s="7" t="s">
        <v>143</v>
      </c>
    </row>
    <row r="50" spans="1:33" x14ac:dyDescent="0.2">
      <c r="A50" s="7">
        <v>1076400</v>
      </c>
      <c r="B50" s="7" t="s">
        <v>61</v>
      </c>
      <c r="C50" s="7" t="s">
        <v>59</v>
      </c>
      <c r="E50" s="7">
        <v>4.3290000000000004E-3</v>
      </c>
      <c r="F50" s="7" t="s">
        <v>42</v>
      </c>
      <c r="G50" s="7" t="s">
        <v>39</v>
      </c>
      <c r="I50" s="7">
        <v>0.19661999999999999</v>
      </c>
      <c r="J50" s="7" t="s">
        <v>80</v>
      </c>
      <c r="K50" s="7" t="s">
        <v>84</v>
      </c>
      <c r="M50" s="7">
        <v>1000</v>
      </c>
      <c r="N50" s="7" t="s">
        <v>94</v>
      </c>
      <c r="O50" s="7" t="s">
        <v>92</v>
      </c>
      <c r="S50" s="7">
        <v>2551400000</v>
      </c>
      <c r="T50" s="7" t="s">
        <v>111</v>
      </c>
      <c r="U50" s="7" t="s">
        <v>105</v>
      </c>
      <c r="W50" s="7">
        <v>56.869</v>
      </c>
      <c r="X50" s="7" t="s">
        <v>121</v>
      </c>
      <c r="Y50" s="7" t="s">
        <v>116</v>
      </c>
      <c r="AA50" s="7">
        <v>1</v>
      </c>
      <c r="AB50" s="7" t="s">
        <v>134</v>
      </c>
      <c r="AC50" s="7" t="s">
        <v>134</v>
      </c>
      <c r="AE50" s="7">
        <v>907185</v>
      </c>
      <c r="AF50" s="7" t="s">
        <v>142</v>
      </c>
      <c r="AG50" s="7" t="s">
        <v>137</v>
      </c>
    </row>
    <row r="51" spans="1:33" x14ac:dyDescent="0.2">
      <c r="A51" s="7">
        <v>4014484259</v>
      </c>
      <c r="B51" s="7" t="s">
        <v>61</v>
      </c>
      <c r="C51" s="7" t="s">
        <v>60</v>
      </c>
      <c r="E51" s="7">
        <v>1.2269000000000001E-8</v>
      </c>
      <c r="F51" s="7" t="s">
        <v>42</v>
      </c>
      <c r="G51" s="7" t="s">
        <v>44</v>
      </c>
      <c r="I51" s="7">
        <v>3.277E-4</v>
      </c>
      <c r="J51" s="7" t="s">
        <v>80</v>
      </c>
      <c r="K51" s="7" t="s">
        <v>85</v>
      </c>
      <c r="M51" s="7">
        <v>1E-3</v>
      </c>
      <c r="N51" s="7" t="s">
        <v>94</v>
      </c>
      <c r="O51" s="7" t="s">
        <v>93</v>
      </c>
      <c r="S51" s="7">
        <v>2551400</v>
      </c>
      <c r="T51" s="7" t="s">
        <v>111</v>
      </c>
      <c r="U51" s="7" t="s">
        <v>106</v>
      </c>
      <c r="W51" s="7">
        <v>3412.1</v>
      </c>
      <c r="X51" s="7" t="s">
        <v>121</v>
      </c>
      <c r="Y51" s="7" t="s">
        <v>117</v>
      </c>
      <c r="AE51" s="7">
        <v>907185000</v>
      </c>
      <c r="AF51" s="7" t="s">
        <v>142</v>
      </c>
      <c r="AG51" s="7" t="s">
        <v>138</v>
      </c>
    </row>
    <row r="52" spans="1:33" x14ac:dyDescent="0.2">
      <c r="A52" s="7">
        <v>1</v>
      </c>
      <c r="B52" s="7" t="s">
        <v>61</v>
      </c>
      <c r="C52" s="7" t="s">
        <v>61</v>
      </c>
      <c r="E52" s="7">
        <v>16.3871</v>
      </c>
      <c r="F52" s="7" t="s">
        <v>42</v>
      </c>
      <c r="G52" s="7" t="s">
        <v>40</v>
      </c>
      <c r="I52" s="7">
        <v>10772</v>
      </c>
      <c r="J52" s="7" t="s">
        <v>81</v>
      </c>
      <c r="K52" s="7" t="s">
        <v>76</v>
      </c>
      <c r="M52" s="7">
        <v>1</v>
      </c>
      <c r="N52" s="7" t="s">
        <v>94</v>
      </c>
      <c r="O52" s="7" t="s">
        <v>94</v>
      </c>
      <c r="S52" s="7">
        <v>42524</v>
      </c>
      <c r="T52" s="7" t="s">
        <v>111</v>
      </c>
      <c r="U52" s="7" t="s">
        <v>107</v>
      </c>
      <c r="W52" s="7">
        <v>44254</v>
      </c>
      <c r="X52" s="7" t="s">
        <v>121</v>
      </c>
      <c r="Y52" s="7" t="s">
        <v>115</v>
      </c>
      <c r="AE52" s="7">
        <v>907.18499999999995</v>
      </c>
      <c r="AF52" s="7" t="s">
        <v>142</v>
      </c>
      <c r="AG52" s="7" t="s">
        <v>139</v>
      </c>
    </row>
    <row r="53" spans="1:33" x14ac:dyDescent="0.2">
      <c r="A53" s="7">
        <v>1000000</v>
      </c>
      <c r="B53" s="7" t="s">
        <v>61</v>
      </c>
      <c r="C53" s="7" t="s">
        <v>62</v>
      </c>
      <c r="E53" s="7">
        <v>5.7870000000000003E-4</v>
      </c>
      <c r="F53" s="7" t="s">
        <v>42</v>
      </c>
      <c r="G53" s="7" t="s">
        <v>41</v>
      </c>
      <c r="I53" s="7">
        <v>7.4809999999999999</v>
      </c>
      <c r="J53" s="7" t="s">
        <v>81</v>
      </c>
      <c r="K53" s="7" t="s">
        <v>77</v>
      </c>
      <c r="M53" s="7">
        <v>39.370100000000001</v>
      </c>
      <c r="N53" s="7" t="s">
        <v>94</v>
      </c>
      <c r="O53" s="7" t="s">
        <v>95</v>
      </c>
      <c r="S53" s="7">
        <v>708.73</v>
      </c>
      <c r="T53" s="7" t="s">
        <v>111</v>
      </c>
      <c r="U53" s="7" t="s">
        <v>108</v>
      </c>
      <c r="W53" s="7">
        <v>737.56</v>
      </c>
      <c r="X53" s="7" t="s">
        <v>121</v>
      </c>
      <c r="Y53" s="7" t="s">
        <v>118</v>
      </c>
      <c r="AE53" s="7">
        <v>14000000</v>
      </c>
      <c r="AF53" s="7" t="s">
        <v>142</v>
      </c>
      <c r="AG53" s="7" t="s">
        <v>140</v>
      </c>
    </row>
    <row r="54" spans="1:33" x14ac:dyDescent="0.2">
      <c r="A54" s="7">
        <v>0.386102</v>
      </c>
      <c r="B54" s="7" t="s">
        <v>61</v>
      </c>
      <c r="C54" s="7" t="s">
        <v>63</v>
      </c>
      <c r="E54" s="7">
        <v>1</v>
      </c>
      <c r="F54" s="7" t="s">
        <v>42</v>
      </c>
      <c r="G54" s="7" t="s">
        <v>42</v>
      </c>
      <c r="I54" s="7">
        <v>0.12467499999999999</v>
      </c>
      <c r="J54" s="7" t="s">
        <v>81</v>
      </c>
      <c r="K54" s="7" t="s">
        <v>78</v>
      </c>
      <c r="M54" s="7">
        <v>1.0935999999999999</v>
      </c>
      <c r="N54" s="7" t="s">
        <v>94</v>
      </c>
      <c r="O54" s="7" t="s">
        <v>96</v>
      </c>
      <c r="S54" s="7">
        <v>29.53</v>
      </c>
      <c r="T54" s="7" t="s">
        <v>111</v>
      </c>
      <c r="U54" s="7" t="s">
        <v>109</v>
      </c>
      <c r="W54" s="7">
        <v>1.341</v>
      </c>
      <c r="X54" s="7" t="s">
        <v>121</v>
      </c>
      <c r="Y54" s="7" t="s">
        <v>119</v>
      </c>
      <c r="AE54" s="7">
        <v>32000</v>
      </c>
      <c r="AF54" s="7" t="s">
        <v>142</v>
      </c>
      <c r="AG54" s="7" t="s">
        <v>48</v>
      </c>
    </row>
    <row r="55" spans="1:33" x14ac:dyDescent="0.2">
      <c r="A55" s="7">
        <v>1195990</v>
      </c>
      <c r="B55" s="7" t="s">
        <v>61</v>
      </c>
      <c r="C55" s="7" t="s">
        <v>64</v>
      </c>
      <c r="E55" s="7">
        <v>1.6387000000000001E-5</v>
      </c>
      <c r="F55" s="7" t="s">
        <v>42</v>
      </c>
      <c r="G55" s="7" t="s">
        <v>45</v>
      </c>
      <c r="I55" s="7">
        <v>1.0772E-2</v>
      </c>
      <c r="J55" s="7" t="s">
        <v>81</v>
      </c>
      <c r="K55" s="7" t="s">
        <v>79</v>
      </c>
      <c r="M55" s="7">
        <v>4.9709999999999997E-3</v>
      </c>
      <c r="N55" s="7" t="s">
        <v>94</v>
      </c>
      <c r="O55" s="7" t="s">
        <v>97</v>
      </c>
      <c r="S55" s="7">
        <v>4.2186000000000003</v>
      </c>
      <c r="T55" s="7" t="s">
        <v>111</v>
      </c>
      <c r="U55" s="7" t="s">
        <v>110</v>
      </c>
      <c r="W55" s="7">
        <v>1000</v>
      </c>
      <c r="X55" s="7" t="s">
        <v>121</v>
      </c>
      <c r="Y55" s="7" t="s">
        <v>123</v>
      </c>
      <c r="AE55" s="7">
        <v>2000</v>
      </c>
      <c r="AF55" s="7" t="s">
        <v>142</v>
      </c>
      <c r="AG55" s="7" t="s">
        <v>141</v>
      </c>
    </row>
    <row r="56" spans="1:33" x14ac:dyDescent="0.2">
      <c r="A56" s="7">
        <v>2.47104E-4</v>
      </c>
      <c r="B56" s="7" t="s">
        <v>62</v>
      </c>
      <c r="C56" s="7" t="s">
        <v>3</v>
      </c>
      <c r="E56" s="7">
        <v>2.1433999999999998E-5</v>
      </c>
      <c r="F56" s="7" t="s">
        <v>42</v>
      </c>
      <c r="G56" s="7" t="s">
        <v>43</v>
      </c>
      <c r="I56" s="7">
        <v>1440</v>
      </c>
      <c r="J56" s="7" t="s">
        <v>81</v>
      </c>
      <c r="K56" s="7" t="s">
        <v>80</v>
      </c>
      <c r="M56" s="7">
        <v>1.5783000000000001E-5</v>
      </c>
      <c r="N56" s="7" t="s">
        <v>95</v>
      </c>
      <c r="O56" s="7" t="s">
        <v>89</v>
      </c>
      <c r="S56" s="7">
        <v>1</v>
      </c>
      <c r="T56" s="7" t="s">
        <v>111</v>
      </c>
      <c r="U56" s="7" t="s">
        <v>111</v>
      </c>
      <c r="W56" s="7">
        <v>1</v>
      </c>
      <c r="X56" s="7" t="s">
        <v>121</v>
      </c>
      <c r="Y56" s="7" t="s">
        <v>124</v>
      </c>
      <c r="AE56" s="7">
        <v>1</v>
      </c>
      <c r="AF56" s="7" t="s">
        <v>142</v>
      </c>
      <c r="AG56" s="7" t="s">
        <v>142</v>
      </c>
    </row>
    <row r="57" spans="1:33" x14ac:dyDescent="0.2">
      <c r="A57" s="7">
        <v>1E-4</v>
      </c>
      <c r="B57" s="7" t="s">
        <v>62</v>
      </c>
      <c r="C57" s="7" t="s">
        <v>0</v>
      </c>
      <c r="E57" s="7">
        <v>1.6387100000000002E-2</v>
      </c>
      <c r="F57" s="7" t="s">
        <v>42</v>
      </c>
      <c r="G57" s="7" t="s">
        <v>46</v>
      </c>
      <c r="I57" s="7">
        <v>1</v>
      </c>
      <c r="J57" s="7" t="s">
        <v>81</v>
      </c>
      <c r="K57" s="7" t="s">
        <v>81</v>
      </c>
      <c r="M57" s="7">
        <v>8.3333000000000004E-2</v>
      </c>
      <c r="N57" s="7" t="s">
        <v>95</v>
      </c>
      <c r="O57" s="7" t="s">
        <v>90</v>
      </c>
      <c r="S57" s="7">
        <v>8.0851999999999993E-2</v>
      </c>
      <c r="T57" s="7" t="s">
        <v>111</v>
      </c>
      <c r="U57" s="7" t="s">
        <v>112</v>
      </c>
      <c r="W57" s="7">
        <v>1E-3</v>
      </c>
      <c r="X57" s="7" t="s">
        <v>121</v>
      </c>
      <c r="Y57" s="7" t="s">
        <v>125</v>
      </c>
      <c r="AE57" s="7">
        <v>0.90718500000000002</v>
      </c>
      <c r="AF57" s="7" t="s">
        <v>142</v>
      </c>
      <c r="AG57" s="7" t="s">
        <v>143</v>
      </c>
    </row>
    <row r="58" spans="1:33" x14ac:dyDescent="0.2">
      <c r="A58" s="7">
        <v>10000</v>
      </c>
      <c r="B58" s="7" t="s">
        <v>62</v>
      </c>
      <c r="C58" s="7" t="s">
        <v>36</v>
      </c>
      <c r="E58" s="7">
        <v>16.3871</v>
      </c>
      <c r="F58" s="7" t="s">
        <v>42</v>
      </c>
      <c r="G58" s="7" t="s">
        <v>47</v>
      </c>
      <c r="I58" s="7">
        <v>1.6666E-2</v>
      </c>
      <c r="J58" s="7" t="s">
        <v>81</v>
      </c>
      <c r="K58" s="7" t="s">
        <v>82</v>
      </c>
      <c r="M58" s="7">
        <v>2.54</v>
      </c>
      <c r="N58" s="7" t="s">
        <v>95</v>
      </c>
      <c r="O58" s="7" t="s">
        <v>91</v>
      </c>
      <c r="S58" s="7">
        <v>31557000000</v>
      </c>
      <c r="T58" s="7" t="s">
        <v>112</v>
      </c>
      <c r="U58" s="7" t="s">
        <v>105</v>
      </c>
      <c r="W58" s="7">
        <v>56869</v>
      </c>
      <c r="X58" s="7" t="s">
        <v>122</v>
      </c>
      <c r="Y58" s="7" t="s">
        <v>116</v>
      </c>
      <c r="AE58" s="7">
        <v>1000000</v>
      </c>
      <c r="AF58" s="7" t="s">
        <v>143</v>
      </c>
      <c r="AG58" s="7" t="s">
        <v>137</v>
      </c>
    </row>
    <row r="59" spans="1:33" x14ac:dyDescent="0.2">
      <c r="A59" s="7">
        <v>10.7639</v>
      </c>
      <c r="B59" s="7" t="s">
        <v>62</v>
      </c>
      <c r="C59" s="7" t="s">
        <v>59</v>
      </c>
      <c r="E59" s="7">
        <v>0.55410000000000004</v>
      </c>
      <c r="F59" s="7" t="s">
        <v>42</v>
      </c>
      <c r="G59" s="7" t="s">
        <v>48</v>
      </c>
      <c r="I59" s="7">
        <v>40776.199999999997</v>
      </c>
      <c r="J59" s="7" t="s">
        <v>81</v>
      </c>
      <c r="K59" s="7" t="s">
        <v>83</v>
      </c>
      <c r="M59" s="7">
        <v>25.4</v>
      </c>
      <c r="N59" s="7" t="s">
        <v>95</v>
      </c>
      <c r="O59" s="7" t="s">
        <v>92</v>
      </c>
      <c r="S59" s="7">
        <v>31557000</v>
      </c>
      <c r="T59" s="7" t="s">
        <v>112</v>
      </c>
      <c r="U59" s="7" t="s">
        <v>106</v>
      </c>
      <c r="W59" s="7">
        <v>3412100</v>
      </c>
      <c r="X59" s="7" t="s">
        <v>122</v>
      </c>
      <c r="Y59" s="7" t="s">
        <v>117</v>
      </c>
      <c r="AE59" s="7">
        <v>1000000000</v>
      </c>
      <c r="AF59" s="7" t="s">
        <v>143</v>
      </c>
      <c r="AG59" s="7" t="s">
        <v>138</v>
      </c>
    </row>
    <row r="60" spans="1:33" x14ac:dyDescent="0.2">
      <c r="A60" s="7">
        <v>1550</v>
      </c>
      <c r="B60" s="7" t="s">
        <v>62</v>
      </c>
      <c r="C60" s="7" t="s">
        <v>60</v>
      </c>
      <c r="E60" s="7">
        <v>3.4632000000000003E-2</v>
      </c>
      <c r="F60" s="7" t="s">
        <v>42</v>
      </c>
      <c r="G60" s="7" t="s">
        <v>49</v>
      </c>
      <c r="I60" s="7">
        <v>28.316800000000001</v>
      </c>
      <c r="J60" s="7" t="s">
        <v>81</v>
      </c>
      <c r="K60" s="7" t="s">
        <v>84</v>
      </c>
      <c r="M60" s="7">
        <v>2.5400000000000001E-5</v>
      </c>
      <c r="N60" s="7" t="s">
        <v>95</v>
      </c>
      <c r="O60" s="7" t="s">
        <v>93</v>
      </c>
      <c r="S60" s="7">
        <v>525969</v>
      </c>
      <c r="T60" s="7" t="s">
        <v>112</v>
      </c>
      <c r="U60" s="7" t="s">
        <v>107</v>
      </c>
      <c r="W60" s="7">
        <v>44254000</v>
      </c>
      <c r="X60" s="7" t="s">
        <v>122</v>
      </c>
      <c r="Y60" s="7" t="s">
        <v>115</v>
      </c>
      <c r="AE60" s="7">
        <v>1000</v>
      </c>
      <c r="AF60" s="7" t="s">
        <v>143</v>
      </c>
      <c r="AG60" s="7" t="s">
        <v>139</v>
      </c>
    </row>
    <row r="61" spans="1:33" x14ac:dyDescent="0.2">
      <c r="A61" s="7">
        <v>9.9999999999999995E-7</v>
      </c>
      <c r="B61" s="7" t="s">
        <v>62</v>
      </c>
      <c r="C61" s="7" t="s">
        <v>61</v>
      </c>
      <c r="E61" s="7">
        <v>1.7316000000000002E-2</v>
      </c>
      <c r="F61" s="7" t="s">
        <v>42</v>
      </c>
      <c r="G61" s="7" t="s">
        <v>50</v>
      </c>
      <c r="I61" s="7">
        <v>0.47194999999999998</v>
      </c>
      <c r="J61" s="7" t="s">
        <v>81</v>
      </c>
      <c r="K61" s="7" t="s">
        <v>85</v>
      </c>
      <c r="M61" s="7">
        <v>2.5399999999999999E-2</v>
      </c>
      <c r="N61" s="7" t="s">
        <v>95</v>
      </c>
      <c r="O61" s="7" t="s">
        <v>94</v>
      </c>
      <c r="S61" s="7">
        <v>8765.7999999999993</v>
      </c>
      <c r="T61" s="7" t="s">
        <v>112</v>
      </c>
      <c r="U61" s="7" t="s">
        <v>108</v>
      </c>
      <c r="W61" s="7">
        <v>737560</v>
      </c>
      <c r="X61" s="7" t="s">
        <v>122</v>
      </c>
      <c r="Y61" s="7" t="s">
        <v>118</v>
      </c>
      <c r="AE61" s="7">
        <v>15430000</v>
      </c>
      <c r="AF61" s="7" t="s">
        <v>143</v>
      </c>
      <c r="AG61" s="7" t="s">
        <v>140</v>
      </c>
    </row>
    <row r="62" spans="1:33" x14ac:dyDescent="0.2">
      <c r="A62" s="7">
        <v>1</v>
      </c>
      <c r="B62" s="7" t="s">
        <v>62</v>
      </c>
      <c r="C62" s="7" t="s">
        <v>62</v>
      </c>
      <c r="E62" s="7">
        <v>227</v>
      </c>
      <c r="F62" s="7" t="s">
        <v>45</v>
      </c>
      <c r="G62" s="7" t="s">
        <v>39</v>
      </c>
      <c r="I62" s="7">
        <v>646317</v>
      </c>
      <c r="J62" s="7" t="s">
        <v>82</v>
      </c>
      <c r="K62" s="7" t="s">
        <v>76</v>
      </c>
      <c r="M62" s="7">
        <v>1</v>
      </c>
      <c r="N62" s="7" t="s">
        <v>95</v>
      </c>
      <c r="O62" s="7" t="s">
        <v>95</v>
      </c>
      <c r="S62" s="7">
        <v>365.24200000000002</v>
      </c>
      <c r="T62" s="7" t="s">
        <v>112</v>
      </c>
      <c r="U62" s="7" t="s">
        <v>109</v>
      </c>
      <c r="W62" s="7">
        <v>1341</v>
      </c>
      <c r="X62" s="7" t="s">
        <v>122</v>
      </c>
      <c r="Y62" s="7" t="s">
        <v>119</v>
      </c>
      <c r="AE62" s="7">
        <v>35274</v>
      </c>
      <c r="AF62" s="7" t="s">
        <v>143</v>
      </c>
      <c r="AG62" s="7" t="s">
        <v>48</v>
      </c>
    </row>
    <row r="63" spans="1:33" x14ac:dyDescent="0.2">
      <c r="A63" s="7">
        <v>3.861E-7</v>
      </c>
      <c r="B63" s="7" t="s">
        <v>62</v>
      </c>
      <c r="C63" s="7" t="s">
        <v>63</v>
      </c>
      <c r="E63" s="7">
        <v>6.4333000000000001E-4</v>
      </c>
      <c r="F63" s="7" t="s">
        <v>45</v>
      </c>
      <c r="G63" s="7" t="s">
        <v>44</v>
      </c>
      <c r="I63" s="7">
        <v>448.83</v>
      </c>
      <c r="J63" s="7" t="s">
        <v>82</v>
      </c>
      <c r="K63" s="7" t="s">
        <v>77</v>
      </c>
      <c r="M63" s="7">
        <v>2.7777E-2</v>
      </c>
      <c r="N63" s="7" t="s">
        <v>95</v>
      </c>
      <c r="O63" s="7" t="s">
        <v>96</v>
      </c>
      <c r="S63" s="7">
        <v>52.177</v>
      </c>
      <c r="T63" s="7" t="s">
        <v>112</v>
      </c>
      <c r="U63" s="7" t="s">
        <v>110</v>
      </c>
      <c r="W63" s="7">
        <v>1000000</v>
      </c>
      <c r="X63" s="7" t="s">
        <v>122</v>
      </c>
      <c r="Y63" s="7" t="s">
        <v>123</v>
      </c>
      <c r="AE63" s="7">
        <v>2204.62</v>
      </c>
      <c r="AF63" s="7" t="s">
        <v>143</v>
      </c>
      <c r="AG63" s="7" t="s">
        <v>141</v>
      </c>
    </row>
    <row r="64" spans="1:33" x14ac:dyDescent="0.2">
      <c r="A64" s="7">
        <v>1.1959900000000001</v>
      </c>
      <c r="B64" s="7" t="s">
        <v>62</v>
      </c>
      <c r="C64" s="7" t="s">
        <v>64</v>
      </c>
      <c r="E64" s="7">
        <v>1000000</v>
      </c>
      <c r="F64" s="7" t="s">
        <v>45</v>
      </c>
      <c r="G64" s="7" t="s">
        <v>40</v>
      </c>
      <c r="I64" s="7">
        <v>7.4809999999999999</v>
      </c>
      <c r="J64" s="7" t="s">
        <v>82</v>
      </c>
      <c r="K64" s="7" t="s">
        <v>78</v>
      </c>
      <c r="M64" s="7">
        <v>1.2626299999999999E-4</v>
      </c>
      <c r="N64" s="7" t="s">
        <v>95</v>
      </c>
      <c r="O64" s="7" t="s">
        <v>97</v>
      </c>
      <c r="S64" s="7">
        <v>12.369</v>
      </c>
      <c r="T64" s="7" t="s">
        <v>112</v>
      </c>
      <c r="U64" s="7" t="s">
        <v>111</v>
      </c>
      <c r="W64" s="7">
        <v>1000</v>
      </c>
      <c r="X64" s="7" t="s">
        <v>122</v>
      </c>
      <c r="Y64" s="7" t="s">
        <v>124</v>
      </c>
      <c r="AE64" s="7">
        <v>1.1023000000000001</v>
      </c>
      <c r="AF64" s="7" t="s">
        <v>143</v>
      </c>
      <c r="AG64" s="7" t="s">
        <v>142</v>
      </c>
    </row>
    <row r="65" spans="1:33" x14ac:dyDescent="0.2">
      <c r="A65" s="7">
        <v>640</v>
      </c>
      <c r="B65" s="7" t="s">
        <v>63</v>
      </c>
      <c r="C65" s="7" t="s">
        <v>3</v>
      </c>
      <c r="E65" s="7">
        <v>35.314700000000002</v>
      </c>
      <c r="F65" s="7" t="s">
        <v>45</v>
      </c>
      <c r="G65" s="7" t="s">
        <v>41</v>
      </c>
      <c r="I65" s="7">
        <v>0.64631700000000003</v>
      </c>
      <c r="J65" s="7" t="s">
        <v>82</v>
      </c>
      <c r="K65" s="7" t="s">
        <v>79</v>
      </c>
      <c r="M65" s="7">
        <v>5.6818299999999999E-4</v>
      </c>
      <c r="N65" s="7" t="s">
        <v>96</v>
      </c>
      <c r="O65" s="7" t="s">
        <v>89</v>
      </c>
      <c r="S65" s="7">
        <v>1</v>
      </c>
      <c r="T65" s="7" t="s">
        <v>112</v>
      </c>
      <c r="U65" s="7" t="s">
        <v>112</v>
      </c>
      <c r="W65" s="7">
        <v>1</v>
      </c>
      <c r="X65" s="7" t="s">
        <v>122</v>
      </c>
      <c r="Y65" s="7" t="s">
        <v>125</v>
      </c>
      <c r="AE65" s="7">
        <v>1</v>
      </c>
      <c r="AF65" s="7" t="s">
        <v>143</v>
      </c>
      <c r="AG65" s="7" t="s">
        <v>143</v>
      </c>
    </row>
    <row r="66" spans="1:33" x14ac:dyDescent="0.2">
      <c r="A66" s="7">
        <v>259</v>
      </c>
      <c r="B66" s="7" t="s">
        <v>63</v>
      </c>
      <c r="C66" s="7" t="s">
        <v>0</v>
      </c>
      <c r="E66" s="7">
        <v>61024</v>
      </c>
      <c r="F66" s="7" t="s">
        <v>45</v>
      </c>
      <c r="G66" s="7" t="s">
        <v>42</v>
      </c>
      <c r="I66" s="7">
        <v>86400</v>
      </c>
      <c r="J66" s="7" t="s">
        <v>82</v>
      </c>
      <c r="K66" s="7" t="s">
        <v>80</v>
      </c>
      <c r="M66" s="7">
        <v>3</v>
      </c>
      <c r="N66" s="7" t="s">
        <v>96</v>
      </c>
      <c r="O66" s="7" t="s">
        <v>90</v>
      </c>
    </row>
    <row r="67" spans="1:33" x14ac:dyDescent="0.2">
      <c r="A67" s="7">
        <v>25900025900</v>
      </c>
      <c r="B67" s="7" t="s">
        <v>63</v>
      </c>
      <c r="C67" s="7" t="s">
        <v>36</v>
      </c>
      <c r="E67" s="7">
        <v>1</v>
      </c>
      <c r="F67" s="7" t="s">
        <v>45</v>
      </c>
      <c r="G67" s="7" t="s">
        <v>45</v>
      </c>
      <c r="I67" s="7">
        <v>60</v>
      </c>
      <c r="J67" s="7" t="s">
        <v>82</v>
      </c>
      <c r="K67" s="7" t="s">
        <v>81</v>
      </c>
      <c r="M67" s="7">
        <v>91.440200000000004</v>
      </c>
      <c r="N67" s="7" t="s">
        <v>96</v>
      </c>
      <c r="O67" s="7" t="s">
        <v>91</v>
      </c>
    </row>
    <row r="68" spans="1:33" x14ac:dyDescent="0.2">
      <c r="A68" s="7">
        <v>27878500</v>
      </c>
      <c r="B68" s="7" t="s">
        <v>63</v>
      </c>
      <c r="C68" s="7" t="s">
        <v>59</v>
      </c>
      <c r="E68" s="7">
        <v>1.3080000000000001</v>
      </c>
      <c r="F68" s="7" t="s">
        <v>45</v>
      </c>
      <c r="G68" s="7" t="s">
        <v>43</v>
      </c>
      <c r="I68" s="7">
        <v>1</v>
      </c>
      <c r="J68" s="7" t="s">
        <v>82</v>
      </c>
      <c r="K68" s="7" t="s">
        <v>82</v>
      </c>
      <c r="M68" s="7">
        <v>914.40200000000004</v>
      </c>
      <c r="N68" s="7" t="s">
        <v>96</v>
      </c>
      <c r="O68" s="7" t="s">
        <v>92</v>
      </c>
    </row>
    <row r="69" spans="1:33" x14ac:dyDescent="0.2">
      <c r="A69" s="7">
        <v>4014510000</v>
      </c>
      <c r="B69" s="7" t="s">
        <v>63</v>
      </c>
      <c r="C69" s="7" t="s">
        <v>60</v>
      </c>
      <c r="E69" s="7">
        <v>1000</v>
      </c>
      <c r="F69" s="7" t="s">
        <v>45</v>
      </c>
      <c r="G69" s="7" t="s">
        <v>46</v>
      </c>
      <c r="I69" s="7">
        <v>2446560</v>
      </c>
      <c r="J69" s="7" t="s">
        <v>82</v>
      </c>
      <c r="K69" s="7" t="s">
        <v>83</v>
      </c>
      <c r="M69" s="7">
        <v>9.144E-4</v>
      </c>
      <c r="N69" s="7" t="s">
        <v>96</v>
      </c>
      <c r="O69" s="7" t="s">
        <v>93</v>
      </c>
    </row>
    <row r="70" spans="1:33" x14ac:dyDescent="0.2">
      <c r="A70" s="7">
        <v>2.59</v>
      </c>
      <c r="B70" s="7" t="s">
        <v>63</v>
      </c>
      <c r="C70" s="7" t="s">
        <v>61</v>
      </c>
      <c r="E70" s="7">
        <v>1000000</v>
      </c>
      <c r="F70" s="7" t="s">
        <v>45</v>
      </c>
      <c r="G70" s="7" t="s">
        <v>47</v>
      </c>
      <c r="I70" s="7">
        <v>1699</v>
      </c>
      <c r="J70" s="7" t="s">
        <v>82</v>
      </c>
      <c r="K70" s="7" t="s">
        <v>84</v>
      </c>
      <c r="M70" s="7">
        <v>0.91440200000000005</v>
      </c>
      <c r="N70" s="7" t="s">
        <v>96</v>
      </c>
      <c r="O70" s="7" t="s">
        <v>94</v>
      </c>
    </row>
    <row r="71" spans="1:33" x14ac:dyDescent="0.2">
      <c r="A71" s="7">
        <v>2590000</v>
      </c>
      <c r="B71" s="7" t="s">
        <v>63</v>
      </c>
      <c r="C71" s="7" t="s">
        <v>62</v>
      </c>
      <c r="E71" s="7">
        <v>33814</v>
      </c>
      <c r="F71" s="7" t="s">
        <v>45</v>
      </c>
      <c r="G71" s="7" t="s">
        <v>48</v>
      </c>
      <c r="I71" s="7">
        <v>28.317</v>
      </c>
      <c r="J71" s="7" t="s">
        <v>82</v>
      </c>
      <c r="K71" s="7" t="s">
        <v>85</v>
      </c>
      <c r="M71" s="7">
        <v>36</v>
      </c>
      <c r="N71" s="7" t="s">
        <v>96</v>
      </c>
      <c r="O71" s="7" t="s">
        <v>95</v>
      </c>
    </row>
    <row r="72" spans="1:33" x14ac:dyDescent="0.2">
      <c r="A72" s="7">
        <v>1</v>
      </c>
      <c r="B72" s="7" t="s">
        <v>63</v>
      </c>
      <c r="C72" s="7" t="s">
        <v>63</v>
      </c>
      <c r="E72" s="7">
        <v>2113.4</v>
      </c>
      <c r="F72" s="7" t="s">
        <v>45</v>
      </c>
      <c r="G72" s="7" t="s">
        <v>49</v>
      </c>
      <c r="I72" s="7">
        <v>0.26417000000000002</v>
      </c>
      <c r="J72" s="7" t="s">
        <v>83</v>
      </c>
      <c r="K72" s="7" t="s">
        <v>76</v>
      </c>
      <c r="M72" s="7">
        <v>1</v>
      </c>
      <c r="N72" s="7" t="s">
        <v>96</v>
      </c>
      <c r="O72" s="7" t="s">
        <v>96</v>
      </c>
    </row>
    <row r="73" spans="1:33" x14ac:dyDescent="0.2">
      <c r="A73" s="7">
        <v>3097610</v>
      </c>
      <c r="B73" s="7" t="s">
        <v>63</v>
      </c>
      <c r="C73" s="7" t="s">
        <v>64</v>
      </c>
      <c r="E73" s="7">
        <v>1056.7</v>
      </c>
      <c r="F73" s="7" t="s">
        <v>45</v>
      </c>
      <c r="G73" s="7" t="s">
        <v>50</v>
      </c>
      <c r="I73" s="7">
        <v>1.8349999999999999E-4</v>
      </c>
      <c r="J73" s="7" t="s">
        <v>83</v>
      </c>
      <c r="K73" s="7" t="s">
        <v>77</v>
      </c>
      <c r="M73" s="7">
        <v>4.5454600000000003E-3</v>
      </c>
      <c r="N73" s="7" t="s">
        <v>96</v>
      </c>
      <c r="O73" s="7" t="s">
        <v>97</v>
      </c>
    </row>
    <row r="74" spans="1:33" x14ac:dyDescent="0.2">
      <c r="A74" s="7">
        <v>2.0661099999999999E-4</v>
      </c>
      <c r="B74" s="7" t="s">
        <v>64</v>
      </c>
      <c r="C74" s="7" t="s">
        <v>3</v>
      </c>
      <c r="E74" s="7">
        <v>202</v>
      </c>
      <c r="F74" s="7" t="s">
        <v>43</v>
      </c>
      <c r="G74" s="7" t="s">
        <v>39</v>
      </c>
      <c r="I74" s="7">
        <v>3.0580000000000002E-6</v>
      </c>
      <c r="J74" s="7" t="s">
        <v>83</v>
      </c>
      <c r="K74" s="7" t="s">
        <v>78</v>
      </c>
      <c r="M74" s="7">
        <v>0.125</v>
      </c>
      <c r="N74" s="7" t="s">
        <v>97</v>
      </c>
      <c r="O74" s="7" t="s">
        <v>89</v>
      </c>
    </row>
    <row r="75" spans="1:33" x14ac:dyDescent="0.2">
      <c r="A75" s="7">
        <v>8.3612700000000007E-5</v>
      </c>
      <c r="B75" s="7" t="s">
        <v>64</v>
      </c>
      <c r="C75" s="7" t="s">
        <v>0</v>
      </c>
      <c r="E75" s="7">
        <v>6.2E-4</v>
      </c>
      <c r="F75" s="7" t="s">
        <v>43</v>
      </c>
      <c r="G75" s="7" t="s">
        <v>44</v>
      </c>
      <c r="I75" s="7">
        <v>2.6417000000000002E-7</v>
      </c>
      <c r="J75" s="7" t="s">
        <v>83</v>
      </c>
      <c r="K75" s="7" t="s">
        <v>79</v>
      </c>
      <c r="M75" s="7">
        <v>660</v>
      </c>
      <c r="N75" s="7" t="s">
        <v>97</v>
      </c>
      <c r="O75" s="7" t="s">
        <v>90</v>
      </c>
    </row>
    <row r="76" spans="1:33" x14ac:dyDescent="0.2">
      <c r="A76" s="7">
        <v>8361.27</v>
      </c>
      <c r="B76" s="7" t="s">
        <v>64</v>
      </c>
      <c r="C76" s="7" t="s">
        <v>36</v>
      </c>
      <c r="E76" s="7">
        <v>764555</v>
      </c>
      <c r="F76" s="7" t="s">
        <v>43</v>
      </c>
      <c r="G76" s="7" t="s">
        <v>40</v>
      </c>
      <c r="I76" s="7">
        <v>3.3689999999999998E-2</v>
      </c>
      <c r="J76" s="7" t="s">
        <v>83</v>
      </c>
      <c r="K76" s="7" t="s">
        <v>80</v>
      </c>
      <c r="M76" s="7">
        <v>20116.8</v>
      </c>
      <c r="N76" s="7" t="s">
        <v>97</v>
      </c>
      <c r="O76" s="7" t="s">
        <v>91</v>
      </c>
    </row>
    <row r="77" spans="1:33" x14ac:dyDescent="0.2">
      <c r="A77" s="7">
        <v>9</v>
      </c>
      <c r="B77" s="7" t="s">
        <v>64</v>
      </c>
      <c r="C77" s="7" t="s">
        <v>59</v>
      </c>
      <c r="E77" s="7">
        <v>27</v>
      </c>
      <c r="F77" s="7" t="s">
        <v>43</v>
      </c>
      <c r="G77" s="7" t="s">
        <v>41</v>
      </c>
      <c r="I77" s="7">
        <v>2.3396000000000001E-5</v>
      </c>
      <c r="J77" s="7" t="s">
        <v>83</v>
      </c>
      <c r="K77" s="7" t="s">
        <v>81</v>
      </c>
      <c r="M77" s="7">
        <v>201168</v>
      </c>
      <c r="N77" s="7" t="s">
        <v>97</v>
      </c>
      <c r="O77" s="7" t="s">
        <v>92</v>
      </c>
    </row>
    <row r="78" spans="1:33" x14ac:dyDescent="0.2">
      <c r="A78" s="7">
        <v>1296</v>
      </c>
      <c r="B78" s="7" t="s">
        <v>64</v>
      </c>
      <c r="C78" s="7" t="s">
        <v>60</v>
      </c>
      <c r="E78" s="7">
        <v>46656</v>
      </c>
      <c r="F78" s="7" t="s">
        <v>43</v>
      </c>
      <c r="G78" s="7" t="s">
        <v>42</v>
      </c>
      <c r="I78" s="7">
        <v>3.9000000000000002E-7</v>
      </c>
      <c r="J78" s="7" t="s">
        <v>83</v>
      </c>
      <c r="K78" s="7" t="s">
        <v>82</v>
      </c>
      <c r="M78" s="7">
        <v>0.20116800000000001</v>
      </c>
      <c r="N78" s="7" t="s">
        <v>97</v>
      </c>
      <c r="O78" s="7" t="s">
        <v>93</v>
      </c>
    </row>
    <row r="79" spans="1:33" x14ac:dyDescent="0.2">
      <c r="A79" s="7">
        <v>8.3612700000000003E-7</v>
      </c>
      <c r="B79" s="7" t="s">
        <v>64</v>
      </c>
      <c r="C79" s="7" t="s">
        <v>61</v>
      </c>
      <c r="E79" s="7">
        <v>0.76456000000000002</v>
      </c>
      <c r="F79" s="7" t="s">
        <v>43</v>
      </c>
      <c r="G79" s="7" t="s">
        <v>45</v>
      </c>
      <c r="I79" s="7">
        <v>1</v>
      </c>
      <c r="J79" s="7" t="s">
        <v>83</v>
      </c>
      <c r="K79" s="7" t="s">
        <v>83</v>
      </c>
      <c r="M79" s="7">
        <v>201.16800000000001</v>
      </c>
      <c r="N79" s="7" t="s">
        <v>97</v>
      </c>
      <c r="O79" s="7" t="s">
        <v>94</v>
      </c>
    </row>
    <row r="80" spans="1:33" x14ac:dyDescent="0.2">
      <c r="A80" s="7">
        <v>0.83612699999999995</v>
      </c>
      <c r="B80" s="7" t="s">
        <v>64</v>
      </c>
      <c r="C80" s="7" t="s">
        <v>62</v>
      </c>
      <c r="E80" s="7">
        <v>1</v>
      </c>
      <c r="F80" s="7" t="s">
        <v>43</v>
      </c>
      <c r="G80" s="7" t="s">
        <v>43</v>
      </c>
      <c r="I80" s="7">
        <v>6.9439999999999997E-4</v>
      </c>
      <c r="J80" s="7" t="s">
        <v>83</v>
      </c>
      <c r="K80" s="7" t="s">
        <v>84</v>
      </c>
      <c r="M80" s="7">
        <v>7920</v>
      </c>
      <c r="N80" s="7" t="s">
        <v>97</v>
      </c>
      <c r="O80" s="7" t="s">
        <v>95</v>
      </c>
    </row>
    <row r="81" spans="1:15" x14ac:dyDescent="0.2">
      <c r="A81" s="7">
        <v>3.2283100000000001E-7</v>
      </c>
      <c r="B81" s="7" t="s">
        <v>64</v>
      </c>
      <c r="C81" s="7" t="s">
        <v>63</v>
      </c>
      <c r="E81" s="7">
        <v>764.56</v>
      </c>
      <c r="F81" s="7" t="s">
        <v>43</v>
      </c>
      <c r="G81" s="7" t="s">
        <v>46</v>
      </c>
      <c r="I81" s="7">
        <v>1.1574E-5</v>
      </c>
      <c r="J81" s="7" t="s">
        <v>83</v>
      </c>
      <c r="K81" s="7" t="s">
        <v>85</v>
      </c>
      <c r="M81" s="7">
        <v>220</v>
      </c>
      <c r="N81" s="7" t="s">
        <v>97</v>
      </c>
      <c r="O81" s="7" t="s">
        <v>96</v>
      </c>
    </row>
    <row r="82" spans="1:15" x14ac:dyDescent="0.2">
      <c r="A82" s="7">
        <v>1</v>
      </c>
      <c r="B82" s="7" t="s">
        <v>64</v>
      </c>
      <c r="C82" s="7" t="s">
        <v>64</v>
      </c>
      <c r="E82" s="7">
        <v>764555</v>
      </c>
      <c r="F82" s="7" t="s">
        <v>43</v>
      </c>
      <c r="G82" s="7" t="s">
        <v>47</v>
      </c>
      <c r="I82" s="7">
        <v>380.4</v>
      </c>
      <c r="J82" s="7" t="s">
        <v>84</v>
      </c>
      <c r="K82" s="7" t="s">
        <v>76</v>
      </c>
      <c r="M82" s="7">
        <v>1</v>
      </c>
      <c r="N82" s="7" t="s">
        <v>97</v>
      </c>
      <c r="O82" s="7" t="s">
        <v>97</v>
      </c>
    </row>
    <row r="83" spans="1:15" x14ac:dyDescent="0.2">
      <c r="E83" s="7">
        <v>25853</v>
      </c>
      <c r="F83" s="7" t="s">
        <v>43</v>
      </c>
      <c r="G83" s="7" t="s">
        <v>48</v>
      </c>
      <c r="I83" s="7">
        <v>0.26417000000000002</v>
      </c>
      <c r="J83" s="7" t="s">
        <v>84</v>
      </c>
      <c r="K83" s="7" t="s">
        <v>77</v>
      </c>
    </row>
    <row r="84" spans="1:15" x14ac:dyDescent="0.2">
      <c r="E84" s="7">
        <v>1616</v>
      </c>
      <c r="F84" s="7" t="s">
        <v>43</v>
      </c>
      <c r="G84" s="7" t="s">
        <v>49</v>
      </c>
      <c r="I84" s="7">
        <v>4.4000000000000003E-3</v>
      </c>
      <c r="J84" s="7" t="s">
        <v>84</v>
      </c>
      <c r="K84" s="7" t="s">
        <v>78</v>
      </c>
    </row>
    <row r="85" spans="1:15" x14ac:dyDescent="0.2">
      <c r="E85" s="7">
        <v>807.9</v>
      </c>
      <c r="F85" s="7" t="s">
        <v>43</v>
      </c>
      <c r="G85" s="7" t="s">
        <v>50</v>
      </c>
      <c r="I85" s="7">
        <v>3.8039999999999998E-4</v>
      </c>
      <c r="J85" s="7" t="s">
        <v>84</v>
      </c>
      <c r="K85" s="7" t="s">
        <v>79</v>
      </c>
    </row>
    <row r="86" spans="1:15" x14ac:dyDescent="0.2">
      <c r="E86" s="7">
        <v>0.26417000000000002</v>
      </c>
      <c r="F86" s="7" t="s">
        <v>46</v>
      </c>
      <c r="G86" s="7" t="s">
        <v>39</v>
      </c>
      <c r="I86" s="7">
        <v>50.86</v>
      </c>
      <c r="J86" s="7" t="s">
        <v>84</v>
      </c>
      <c r="K86" s="7" t="s">
        <v>80</v>
      </c>
    </row>
    <row r="87" spans="1:15" x14ac:dyDescent="0.2">
      <c r="E87" s="7">
        <v>7.4867300000000002E-7</v>
      </c>
      <c r="F87" s="7" t="s">
        <v>46</v>
      </c>
      <c r="G87" s="7" t="s">
        <v>44</v>
      </c>
      <c r="I87" s="7">
        <v>3.5319999999999997E-2</v>
      </c>
      <c r="J87" s="7" t="s">
        <v>84</v>
      </c>
      <c r="K87" s="7" t="s">
        <v>81</v>
      </c>
    </row>
    <row r="88" spans="1:15" x14ac:dyDescent="0.2">
      <c r="E88" s="7">
        <v>1000</v>
      </c>
      <c r="F88" s="7" t="s">
        <v>46</v>
      </c>
      <c r="G88" s="7" t="s">
        <v>40</v>
      </c>
      <c r="I88" s="7">
        <v>5.8858000000000001E-4</v>
      </c>
      <c r="J88" s="7" t="s">
        <v>84</v>
      </c>
      <c r="K88" s="7" t="s">
        <v>82</v>
      </c>
    </row>
    <row r="89" spans="1:15" x14ac:dyDescent="0.2">
      <c r="E89" s="7">
        <v>3.5314999999999999E-2</v>
      </c>
      <c r="F89" s="7" t="s">
        <v>46</v>
      </c>
      <c r="G89" s="7" t="s">
        <v>41</v>
      </c>
      <c r="I89" s="7">
        <v>1440</v>
      </c>
      <c r="J89" s="7" t="s">
        <v>84</v>
      </c>
      <c r="K89" s="7" t="s">
        <v>83</v>
      </c>
    </row>
    <row r="90" spans="1:15" x14ac:dyDescent="0.2">
      <c r="E90" s="7">
        <v>61.024000000000001</v>
      </c>
      <c r="F90" s="7" t="s">
        <v>46</v>
      </c>
      <c r="G90" s="7" t="s">
        <v>42</v>
      </c>
      <c r="I90" s="7">
        <v>1</v>
      </c>
      <c r="J90" s="7" t="s">
        <v>84</v>
      </c>
      <c r="K90" s="7" t="s">
        <v>84</v>
      </c>
    </row>
    <row r="91" spans="1:15" x14ac:dyDescent="0.2">
      <c r="E91" s="7">
        <v>1E-3</v>
      </c>
      <c r="F91" s="7" t="s">
        <v>46</v>
      </c>
      <c r="G91" s="7" t="s">
        <v>45</v>
      </c>
      <c r="I91" s="7">
        <v>1.6660000000000001E-2</v>
      </c>
      <c r="J91" s="7" t="s">
        <v>84</v>
      </c>
      <c r="K91" s="7" t="s">
        <v>85</v>
      </c>
    </row>
    <row r="92" spans="1:15" x14ac:dyDescent="0.2">
      <c r="E92" s="7">
        <v>1.3079999999999999E-3</v>
      </c>
      <c r="F92" s="7" t="s">
        <v>46</v>
      </c>
      <c r="G92" s="7" t="s">
        <v>43</v>
      </c>
      <c r="I92" s="7">
        <v>22824</v>
      </c>
      <c r="J92" s="7" t="s">
        <v>85</v>
      </c>
      <c r="K92" s="7" t="s">
        <v>76</v>
      </c>
    </row>
    <row r="93" spans="1:15" x14ac:dyDescent="0.2">
      <c r="E93" s="7">
        <v>1</v>
      </c>
      <c r="F93" s="7" t="s">
        <v>46</v>
      </c>
      <c r="G93" s="7" t="s">
        <v>46</v>
      </c>
      <c r="I93" s="7">
        <v>15.85</v>
      </c>
      <c r="J93" s="7" t="s">
        <v>85</v>
      </c>
      <c r="K93" s="7" t="s">
        <v>77</v>
      </c>
    </row>
    <row r="94" spans="1:15" x14ac:dyDescent="0.2">
      <c r="E94" s="7">
        <v>1000</v>
      </c>
      <c r="F94" s="7" t="s">
        <v>46</v>
      </c>
      <c r="G94" s="7" t="s">
        <v>47</v>
      </c>
      <c r="I94" s="7">
        <v>0.26417000000000002</v>
      </c>
      <c r="J94" s="7" t="s">
        <v>85</v>
      </c>
      <c r="K94" s="7" t="s">
        <v>78</v>
      </c>
    </row>
    <row r="95" spans="1:15" x14ac:dyDescent="0.2">
      <c r="E95" s="7">
        <v>33.814</v>
      </c>
      <c r="F95" s="7" t="s">
        <v>46</v>
      </c>
      <c r="G95" s="7" t="s">
        <v>48</v>
      </c>
      <c r="I95" s="7">
        <v>2.2824000000000001E-2</v>
      </c>
      <c r="J95" s="7" t="s">
        <v>85</v>
      </c>
      <c r="K95" s="7" t="s">
        <v>79</v>
      </c>
    </row>
    <row r="96" spans="1:15" x14ac:dyDescent="0.2">
      <c r="E96" s="7">
        <v>2.1133999999999999</v>
      </c>
      <c r="F96" s="7" t="s">
        <v>46</v>
      </c>
      <c r="G96" s="7" t="s">
        <v>49</v>
      </c>
      <c r="I96" s="7">
        <v>3051.2</v>
      </c>
      <c r="J96" s="7" t="s">
        <v>85</v>
      </c>
      <c r="K96" s="7" t="s">
        <v>80</v>
      </c>
    </row>
    <row r="97" spans="5:11" x14ac:dyDescent="0.2">
      <c r="E97" s="7">
        <v>1.0567</v>
      </c>
      <c r="F97" s="7" t="s">
        <v>46</v>
      </c>
      <c r="G97" s="7" t="s">
        <v>50</v>
      </c>
      <c r="I97" s="7">
        <v>2.1189</v>
      </c>
      <c r="J97" s="7" t="s">
        <v>85</v>
      </c>
      <c r="K97" s="7" t="s">
        <v>81</v>
      </c>
    </row>
    <row r="98" spans="5:11" x14ac:dyDescent="0.2">
      <c r="E98" s="7">
        <v>2.6416999999999999E-4</v>
      </c>
      <c r="F98" s="7" t="s">
        <v>47</v>
      </c>
      <c r="G98" s="7" t="s">
        <v>39</v>
      </c>
      <c r="I98" s="7">
        <v>3.5314699999999997E-2</v>
      </c>
      <c r="J98" s="7" t="s">
        <v>85</v>
      </c>
      <c r="K98" s="7" t="s">
        <v>82</v>
      </c>
    </row>
    <row r="99" spans="5:11" x14ac:dyDescent="0.2">
      <c r="E99" s="7">
        <v>7.4866999999999996E-10</v>
      </c>
      <c r="F99" s="7" t="s">
        <v>47</v>
      </c>
      <c r="G99" s="7" t="s">
        <v>44</v>
      </c>
      <c r="I99" s="7">
        <v>86400</v>
      </c>
      <c r="J99" s="7" t="s">
        <v>85</v>
      </c>
      <c r="K99" s="7" t="s">
        <v>83</v>
      </c>
    </row>
    <row r="100" spans="5:11" x14ac:dyDescent="0.2">
      <c r="E100" s="7">
        <v>1</v>
      </c>
      <c r="F100" s="7" t="s">
        <v>47</v>
      </c>
      <c r="G100" s="7" t="s">
        <v>40</v>
      </c>
      <c r="I100" s="7">
        <v>60</v>
      </c>
      <c r="J100" s="7" t="s">
        <v>85</v>
      </c>
      <c r="K100" s="7" t="s">
        <v>84</v>
      </c>
    </row>
    <row r="101" spans="5:11" x14ac:dyDescent="0.2">
      <c r="E101" s="7">
        <v>3.5315000000000003E-5</v>
      </c>
      <c r="F101" s="7" t="s">
        <v>47</v>
      </c>
      <c r="G101" s="7" t="s">
        <v>41</v>
      </c>
      <c r="I101" s="7">
        <v>1</v>
      </c>
      <c r="J101" s="7" t="s">
        <v>85</v>
      </c>
      <c r="K101" s="7" t="s">
        <v>85</v>
      </c>
    </row>
    <row r="102" spans="5:11" x14ac:dyDescent="0.2">
      <c r="E102" s="7">
        <v>6.1024000000000002E-2</v>
      </c>
      <c r="F102" s="7" t="s">
        <v>47</v>
      </c>
      <c r="G102" s="7" t="s">
        <v>42</v>
      </c>
    </row>
    <row r="103" spans="5:11" x14ac:dyDescent="0.2">
      <c r="E103" s="7">
        <v>9.9999999999999995E-7</v>
      </c>
      <c r="F103" s="7" t="s">
        <v>47</v>
      </c>
      <c r="G103" s="7" t="s">
        <v>45</v>
      </c>
    </row>
    <row r="104" spans="5:11" x14ac:dyDescent="0.2">
      <c r="E104" s="7">
        <v>1.2077999999999999E-6</v>
      </c>
      <c r="F104" s="7" t="s">
        <v>47</v>
      </c>
      <c r="G104" s="7" t="s">
        <v>43</v>
      </c>
    </row>
    <row r="105" spans="5:11" x14ac:dyDescent="0.2">
      <c r="E105" s="7">
        <v>1E-3</v>
      </c>
      <c r="F105" s="7" t="s">
        <v>47</v>
      </c>
      <c r="G105" s="7" t="s">
        <v>46</v>
      </c>
    </row>
    <row r="106" spans="5:11" x14ac:dyDescent="0.2">
      <c r="E106" s="7">
        <v>1</v>
      </c>
      <c r="F106" s="7" t="s">
        <v>47</v>
      </c>
      <c r="G106" s="7" t="s">
        <v>47</v>
      </c>
    </row>
    <row r="107" spans="5:11" x14ac:dyDescent="0.2">
      <c r="E107" s="7">
        <v>3.3813999999999997E-2</v>
      </c>
      <c r="F107" s="7" t="s">
        <v>47</v>
      </c>
      <c r="G107" s="7" t="s">
        <v>48</v>
      </c>
    </row>
    <row r="108" spans="5:11" x14ac:dyDescent="0.2">
      <c r="E108" s="7">
        <v>2.1134000000000001E-3</v>
      </c>
      <c r="F108" s="7" t="s">
        <v>47</v>
      </c>
      <c r="G108" s="7" t="s">
        <v>49</v>
      </c>
    </row>
    <row r="109" spans="5:11" x14ac:dyDescent="0.2">
      <c r="E109" s="7">
        <v>1.0567E-3</v>
      </c>
      <c r="F109" s="7" t="s">
        <v>47</v>
      </c>
      <c r="G109" s="7" t="s">
        <v>50</v>
      </c>
    </row>
    <row r="110" spans="5:11" x14ac:dyDescent="0.2">
      <c r="E110" s="7">
        <v>7.8125E-3</v>
      </c>
      <c r="F110" s="7" t="s">
        <v>48</v>
      </c>
      <c r="G110" s="7" t="s">
        <v>39</v>
      </c>
    </row>
    <row r="111" spans="5:11" x14ac:dyDescent="0.2">
      <c r="E111" s="7">
        <v>2.2141E-8</v>
      </c>
      <c r="F111" s="7" t="s">
        <v>48</v>
      </c>
      <c r="G111" s="7" t="s">
        <v>44</v>
      </c>
    </row>
    <row r="112" spans="5:11" x14ac:dyDescent="0.2">
      <c r="E112" s="7">
        <v>29.573499999999999</v>
      </c>
      <c r="F112" s="7" t="s">
        <v>48</v>
      </c>
      <c r="G112" s="7" t="s">
        <v>40</v>
      </c>
    </row>
    <row r="113" spans="5:7" x14ac:dyDescent="0.2">
      <c r="E113" s="7">
        <v>1.0444E-3</v>
      </c>
      <c r="F113" s="7" t="s">
        <v>48</v>
      </c>
      <c r="G113" s="7" t="s">
        <v>41</v>
      </c>
    </row>
    <row r="114" spans="5:7" x14ac:dyDescent="0.2">
      <c r="E114" s="7">
        <v>1.8047</v>
      </c>
      <c r="F114" s="7" t="s">
        <v>48</v>
      </c>
      <c r="G114" s="7" t="s">
        <v>42</v>
      </c>
    </row>
    <row r="115" spans="5:7" x14ac:dyDescent="0.2">
      <c r="E115" s="7">
        <v>2.9573500000000001E-5</v>
      </c>
      <c r="F115" s="7" t="s">
        <v>48</v>
      </c>
      <c r="G115" s="7" t="s">
        <v>45</v>
      </c>
    </row>
    <row r="116" spans="5:7" x14ac:dyDescent="0.2">
      <c r="E116" s="7">
        <v>3.8680000000000002E-5</v>
      </c>
      <c r="F116" s="7" t="s">
        <v>48</v>
      </c>
      <c r="G116" s="7" t="s">
        <v>43</v>
      </c>
    </row>
    <row r="117" spans="5:7" x14ac:dyDescent="0.2">
      <c r="E117" s="7">
        <v>2.9574E-2</v>
      </c>
      <c r="F117" s="7" t="s">
        <v>48</v>
      </c>
      <c r="G117" s="7" t="s">
        <v>46</v>
      </c>
    </row>
    <row r="118" spans="5:7" x14ac:dyDescent="0.2">
      <c r="E118" s="7">
        <v>29.573499999999999</v>
      </c>
      <c r="F118" s="7" t="s">
        <v>48</v>
      </c>
      <c r="G118" s="7" t="s">
        <v>47</v>
      </c>
    </row>
    <row r="119" spans="5:7" x14ac:dyDescent="0.2">
      <c r="E119" s="7">
        <v>1</v>
      </c>
      <c r="F119" s="7" t="s">
        <v>48</v>
      </c>
      <c r="G119" s="7" t="s">
        <v>48</v>
      </c>
    </row>
    <row r="120" spans="5:7" x14ac:dyDescent="0.2">
      <c r="E120" s="7">
        <v>6.25E-2</v>
      </c>
      <c r="F120" s="7" t="s">
        <v>48</v>
      </c>
      <c r="G120" s="7" t="s">
        <v>49</v>
      </c>
    </row>
    <row r="121" spans="5:7" x14ac:dyDescent="0.2">
      <c r="E121" s="7">
        <v>3.125E-2</v>
      </c>
      <c r="F121" s="7" t="s">
        <v>48</v>
      </c>
      <c r="G121" s="7" t="s">
        <v>50</v>
      </c>
    </row>
    <row r="122" spans="5:7" x14ac:dyDescent="0.2">
      <c r="E122" s="7">
        <v>0.125</v>
      </c>
      <c r="F122" s="7" t="s">
        <v>49</v>
      </c>
      <c r="G122" s="7" t="s">
        <v>39</v>
      </c>
    </row>
    <row r="123" spans="5:7" x14ac:dyDescent="0.2">
      <c r="E123" s="7">
        <v>3.5426E-7</v>
      </c>
      <c r="F123" s="7" t="s">
        <v>49</v>
      </c>
      <c r="G123" s="7" t="s">
        <v>44</v>
      </c>
    </row>
    <row r="124" spans="5:7" x14ac:dyDescent="0.2">
      <c r="E124" s="7">
        <v>473.17599999999999</v>
      </c>
      <c r="F124" s="7" t="s">
        <v>49</v>
      </c>
      <c r="G124" s="7" t="s">
        <v>40</v>
      </c>
    </row>
    <row r="125" spans="5:7" x14ac:dyDescent="0.2">
      <c r="E125" s="7">
        <v>1.6709999999999999E-2</v>
      </c>
      <c r="F125" s="7" t="s">
        <v>49</v>
      </c>
      <c r="G125" s="7" t="s">
        <v>41</v>
      </c>
    </row>
    <row r="126" spans="5:7" x14ac:dyDescent="0.2">
      <c r="E126" s="7">
        <v>28.875</v>
      </c>
      <c r="F126" s="7" t="s">
        <v>49</v>
      </c>
      <c r="G126" s="7" t="s">
        <v>42</v>
      </c>
    </row>
    <row r="127" spans="5:7" x14ac:dyDescent="0.2">
      <c r="E127" s="7">
        <v>4.7318000000000002E-4</v>
      </c>
      <c r="F127" s="7" t="s">
        <v>49</v>
      </c>
      <c r="G127" s="7" t="s">
        <v>45</v>
      </c>
    </row>
    <row r="128" spans="5:7" x14ac:dyDescent="0.2">
      <c r="E128" s="7">
        <v>6.1888999999999998E-4</v>
      </c>
      <c r="F128" s="7" t="s">
        <v>49</v>
      </c>
      <c r="G128" s="7" t="s">
        <v>43</v>
      </c>
    </row>
    <row r="129" spans="5:7" x14ac:dyDescent="0.2">
      <c r="E129" s="7">
        <v>0.47317999999999999</v>
      </c>
      <c r="F129" s="7" t="s">
        <v>49</v>
      </c>
      <c r="G129" s="7" t="s">
        <v>46</v>
      </c>
    </row>
    <row r="130" spans="5:7" x14ac:dyDescent="0.2">
      <c r="E130" s="7">
        <v>473.17599999999999</v>
      </c>
      <c r="F130" s="7" t="s">
        <v>49</v>
      </c>
      <c r="G130" s="7" t="s">
        <v>47</v>
      </c>
    </row>
    <row r="131" spans="5:7" x14ac:dyDescent="0.2">
      <c r="E131" s="7">
        <v>16</v>
      </c>
      <c r="F131" s="7" t="s">
        <v>49</v>
      </c>
      <c r="G131" s="7" t="s">
        <v>48</v>
      </c>
    </row>
    <row r="132" spans="5:7" x14ac:dyDescent="0.2">
      <c r="E132" s="7">
        <v>1</v>
      </c>
      <c r="F132" s="7" t="s">
        <v>49</v>
      </c>
      <c r="G132" s="7" t="s">
        <v>49</v>
      </c>
    </row>
    <row r="133" spans="5:7" x14ac:dyDescent="0.2">
      <c r="E133" s="7">
        <v>0.5</v>
      </c>
      <c r="F133" s="7" t="s">
        <v>49</v>
      </c>
      <c r="G133" s="7" t="s">
        <v>50</v>
      </c>
    </row>
    <row r="134" spans="5:7" x14ac:dyDescent="0.2">
      <c r="E134" s="7">
        <v>0.25</v>
      </c>
      <c r="F134" s="7" t="s">
        <v>50</v>
      </c>
      <c r="G134" s="7" t="s">
        <v>39</v>
      </c>
    </row>
    <row r="135" spans="5:7" x14ac:dyDescent="0.2">
      <c r="E135" s="7">
        <v>7.0851000000000004E-7</v>
      </c>
      <c r="F135" s="7" t="s">
        <v>50</v>
      </c>
      <c r="G135" s="7" t="s">
        <v>44</v>
      </c>
    </row>
    <row r="136" spans="5:7" x14ac:dyDescent="0.2">
      <c r="E136" s="7">
        <v>946.35299999999995</v>
      </c>
      <c r="F136" s="7" t="s">
        <v>50</v>
      </c>
      <c r="G136" s="7" t="s">
        <v>40</v>
      </c>
    </row>
    <row r="137" spans="5:7" x14ac:dyDescent="0.2">
      <c r="E137" s="7">
        <v>3.3419999999999998E-2</v>
      </c>
      <c r="F137" s="7" t="s">
        <v>50</v>
      </c>
      <c r="G137" s="7" t="s">
        <v>41</v>
      </c>
    </row>
    <row r="138" spans="5:7" x14ac:dyDescent="0.2">
      <c r="E138" s="7">
        <v>57.75</v>
      </c>
      <c r="F138" s="7" t="s">
        <v>50</v>
      </c>
      <c r="G138" s="7" t="s">
        <v>42</v>
      </c>
    </row>
    <row r="139" spans="5:7" x14ac:dyDescent="0.2">
      <c r="E139" s="7">
        <v>9.4634999999999999E-4</v>
      </c>
      <c r="F139" s="7" t="s">
        <v>50</v>
      </c>
      <c r="G139" s="7" t="s">
        <v>45</v>
      </c>
    </row>
    <row r="140" spans="5:7" x14ac:dyDescent="0.2">
      <c r="E140" s="7">
        <v>1.2378000000000001E-3</v>
      </c>
      <c r="F140" s="7" t="s">
        <v>50</v>
      </c>
      <c r="G140" s="7" t="s">
        <v>43</v>
      </c>
    </row>
    <row r="141" spans="5:7" x14ac:dyDescent="0.2">
      <c r="E141" s="7">
        <v>0.946353</v>
      </c>
      <c r="F141" s="7" t="s">
        <v>50</v>
      </c>
      <c r="G141" s="7" t="s">
        <v>46</v>
      </c>
    </row>
    <row r="142" spans="5:7" x14ac:dyDescent="0.2">
      <c r="E142" s="7">
        <v>946.35299999999995</v>
      </c>
      <c r="F142" s="7" t="s">
        <v>50</v>
      </c>
      <c r="G142" s="7" t="s">
        <v>47</v>
      </c>
    </row>
    <row r="143" spans="5:7" x14ac:dyDescent="0.2">
      <c r="E143" s="7">
        <v>32</v>
      </c>
      <c r="F143" s="7" t="s">
        <v>50</v>
      </c>
      <c r="G143" s="7" t="s">
        <v>48</v>
      </c>
    </row>
    <row r="144" spans="5:7" x14ac:dyDescent="0.2">
      <c r="E144" s="7">
        <v>2</v>
      </c>
      <c r="F144" s="7" t="s">
        <v>50</v>
      </c>
      <c r="G144" s="7" t="s">
        <v>49</v>
      </c>
    </row>
    <row r="145" spans="5:7" x14ac:dyDescent="0.2">
      <c r="E145" s="7">
        <v>1</v>
      </c>
      <c r="F145" s="7" t="s">
        <v>50</v>
      </c>
      <c r="G145" s="7" t="s">
        <v>50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4"/>
  <sheetViews>
    <sheetView workbookViewId="0">
      <selection activeCell="B10" sqref="B10"/>
    </sheetView>
  </sheetViews>
  <sheetFormatPr defaultRowHeight="12.75" x14ac:dyDescent="0.2"/>
  <cols>
    <col min="1" max="1" width="14.42578125" style="10" customWidth="1"/>
    <col min="2" max="2" width="15" style="10" customWidth="1"/>
    <col min="3" max="3" width="13.140625" style="10" bestFit="1" customWidth="1"/>
    <col min="4" max="4" width="11" style="10" customWidth="1"/>
    <col min="5" max="256" width="9.140625" style="10"/>
    <col min="257" max="257" width="14.42578125" style="10" customWidth="1"/>
    <col min="258" max="258" width="13.5703125" style="10" customWidth="1"/>
    <col min="259" max="259" width="13.140625" style="10" bestFit="1" customWidth="1"/>
    <col min="260" max="260" width="11" style="10" customWidth="1"/>
    <col min="261" max="512" width="9.140625" style="10"/>
    <col min="513" max="513" width="14.42578125" style="10" customWidth="1"/>
    <col min="514" max="514" width="13.5703125" style="10" customWidth="1"/>
    <col min="515" max="515" width="13.140625" style="10" bestFit="1" customWidth="1"/>
    <col min="516" max="516" width="11" style="10" customWidth="1"/>
    <col min="517" max="768" width="9.140625" style="10"/>
    <col min="769" max="769" width="14.42578125" style="10" customWidth="1"/>
    <col min="770" max="770" width="13.5703125" style="10" customWidth="1"/>
    <col min="771" max="771" width="13.140625" style="10" bestFit="1" customWidth="1"/>
    <col min="772" max="772" width="11" style="10" customWidth="1"/>
    <col min="773" max="1024" width="9.140625" style="10"/>
    <col min="1025" max="1025" width="14.42578125" style="10" customWidth="1"/>
    <col min="1026" max="1026" width="13.5703125" style="10" customWidth="1"/>
    <col min="1027" max="1027" width="13.140625" style="10" bestFit="1" customWidth="1"/>
    <col min="1028" max="1028" width="11" style="10" customWidth="1"/>
    <col min="1029" max="1280" width="9.140625" style="10"/>
    <col min="1281" max="1281" width="14.42578125" style="10" customWidth="1"/>
    <col min="1282" max="1282" width="13.5703125" style="10" customWidth="1"/>
    <col min="1283" max="1283" width="13.140625" style="10" bestFit="1" customWidth="1"/>
    <col min="1284" max="1284" width="11" style="10" customWidth="1"/>
    <col min="1285" max="1536" width="9.140625" style="10"/>
    <col min="1537" max="1537" width="14.42578125" style="10" customWidth="1"/>
    <col min="1538" max="1538" width="13.5703125" style="10" customWidth="1"/>
    <col min="1539" max="1539" width="13.140625" style="10" bestFit="1" customWidth="1"/>
    <col min="1540" max="1540" width="11" style="10" customWidth="1"/>
    <col min="1541" max="1792" width="9.140625" style="10"/>
    <col min="1793" max="1793" width="14.42578125" style="10" customWidth="1"/>
    <col min="1794" max="1794" width="13.5703125" style="10" customWidth="1"/>
    <col min="1795" max="1795" width="13.140625" style="10" bestFit="1" customWidth="1"/>
    <col min="1796" max="1796" width="11" style="10" customWidth="1"/>
    <col min="1797" max="2048" width="9.140625" style="10"/>
    <col min="2049" max="2049" width="14.42578125" style="10" customWidth="1"/>
    <col min="2050" max="2050" width="13.5703125" style="10" customWidth="1"/>
    <col min="2051" max="2051" width="13.140625" style="10" bestFit="1" customWidth="1"/>
    <col min="2052" max="2052" width="11" style="10" customWidth="1"/>
    <col min="2053" max="2304" width="9.140625" style="10"/>
    <col min="2305" max="2305" width="14.42578125" style="10" customWidth="1"/>
    <col min="2306" max="2306" width="13.5703125" style="10" customWidth="1"/>
    <col min="2307" max="2307" width="13.140625" style="10" bestFit="1" customWidth="1"/>
    <col min="2308" max="2308" width="11" style="10" customWidth="1"/>
    <col min="2309" max="2560" width="9.140625" style="10"/>
    <col min="2561" max="2561" width="14.42578125" style="10" customWidth="1"/>
    <col min="2562" max="2562" width="13.5703125" style="10" customWidth="1"/>
    <col min="2563" max="2563" width="13.140625" style="10" bestFit="1" customWidth="1"/>
    <col min="2564" max="2564" width="11" style="10" customWidth="1"/>
    <col min="2565" max="2816" width="9.140625" style="10"/>
    <col min="2817" max="2817" width="14.42578125" style="10" customWidth="1"/>
    <col min="2818" max="2818" width="13.5703125" style="10" customWidth="1"/>
    <col min="2819" max="2819" width="13.140625" style="10" bestFit="1" customWidth="1"/>
    <col min="2820" max="2820" width="11" style="10" customWidth="1"/>
    <col min="2821" max="3072" width="9.140625" style="10"/>
    <col min="3073" max="3073" width="14.42578125" style="10" customWidth="1"/>
    <col min="3074" max="3074" width="13.5703125" style="10" customWidth="1"/>
    <col min="3075" max="3075" width="13.140625" style="10" bestFit="1" customWidth="1"/>
    <col min="3076" max="3076" width="11" style="10" customWidth="1"/>
    <col min="3077" max="3328" width="9.140625" style="10"/>
    <col min="3329" max="3329" width="14.42578125" style="10" customWidth="1"/>
    <col min="3330" max="3330" width="13.5703125" style="10" customWidth="1"/>
    <col min="3331" max="3331" width="13.140625" style="10" bestFit="1" customWidth="1"/>
    <col min="3332" max="3332" width="11" style="10" customWidth="1"/>
    <col min="3333" max="3584" width="9.140625" style="10"/>
    <col min="3585" max="3585" width="14.42578125" style="10" customWidth="1"/>
    <col min="3586" max="3586" width="13.5703125" style="10" customWidth="1"/>
    <col min="3587" max="3587" width="13.140625" style="10" bestFit="1" customWidth="1"/>
    <col min="3588" max="3588" width="11" style="10" customWidth="1"/>
    <col min="3589" max="3840" width="9.140625" style="10"/>
    <col min="3841" max="3841" width="14.42578125" style="10" customWidth="1"/>
    <col min="3842" max="3842" width="13.5703125" style="10" customWidth="1"/>
    <col min="3843" max="3843" width="13.140625" style="10" bestFit="1" customWidth="1"/>
    <col min="3844" max="3844" width="11" style="10" customWidth="1"/>
    <col min="3845" max="4096" width="9.140625" style="10"/>
    <col min="4097" max="4097" width="14.42578125" style="10" customWidth="1"/>
    <col min="4098" max="4098" width="13.5703125" style="10" customWidth="1"/>
    <col min="4099" max="4099" width="13.140625" style="10" bestFit="1" customWidth="1"/>
    <col min="4100" max="4100" width="11" style="10" customWidth="1"/>
    <col min="4101" max="4352" width="9.140625" style="10"/>
    <col min="4353" max="4353" width="14.42578125" style="10" customWidth="1"/>
    <col min="4354" max="4354" width="13.5703125" style="10" customWidth="1"/>
    <col min="4355" max="4355" width="13.140625" style="10" bestFit="1" customWidth="1"/>
    <col min="4356" max="4356" width="11" style="10" customWidth="1"/>
    <col min="4357" max="4608" width="9.140625" style="10"/>
    <col min="4609" max="4609" width="14.42578125" style="10" customWidth="1"/>
    <col min="4610" max="4610" width="13.5703125" style="10" customWidth="1"/>
    <col min="4611" max="4611" width="13.140625" style="10" bestFit="1" customWidth="1"/>
    <col min="4612" max="4612" width="11" style="10" customWidth="1"/>
    <col min="4613" max="4864" width="9.140625" style="10"/>
    <col min="4865" max="4865" width="14.42578125" style="10" customWidth="1"/>
    <col min="4866" max="4866" width="13.5703125" style="10" customWidth="1"/>
    <col min="4867" max="4867" width="13.140625" style="10" bestFit="1" customWidth="1"/>
    <col min="4868" max="4868" width="11" style="10" customWidth="1"/>
    <col min="4869" max="5120" width="9.140625" style="10"/>
    <col min="5121" max="5121" width="14.42578125" style="10" customWidth="1"/>
    <col min="5122" max="5122" width="13.5703125" style="10" customWidth="1"/>
    <col min="5123" max="5123" width="13.140625" style="10" bestFit="1" customWidth="1"/>
    <col min="5124" max="5124" width="11" style="10" customWidth="1"/>
    <col min="5125" max="5376" width="9.140625" style="10"/>
    <col min="5377" max="5377" width="14.42578125" style="10" customWidth="1"/>
    <col min="5378" max="5378" width="13.5703125" style="10" customWidth="1"/>
    <col min="5379" max="5379" width="13.140625" style="10" bestFit="1" customWidth="1"/>
    <col min="5380" max="5380" width="11" style="10" customWidth="1"/>
    <col min="5381" max="5632" width="9.140625" style="10"/>
    <col min="5633" max="5633" width="14.42578125" style="10" customWidth="1"/>
    <col min="5634" max="5634" width="13.5703125" style="10" customWidth="1"/>
    <col min="5635" max="5635" width="13.140625" style="10" bestFit="1" customWidth="1"/>
    <col min="5636" max="5636" width="11" style="10" customWidth="1"/>
    <col min="5637" max="5888" width="9.140625" style="10"/>
    <col min="5889" max="5889" width="14.42578125" style="10" customWidth="1"/>
    <col min="5890" max="5890" width="13.5703125" style="10" customWidth="1"/>
    <col min="5891" max="5891" width="13.140625" style="10" bestFit="1" customWidth="1"/>
    <col min="5892" max="5892" width="11" style="10" customWidth="1"/>
    <col min="5893" max="6144" width="9.140625" style="10"/>
    <col min="6145" max="6145" width="14.42578125" style="10" customWidth="1"/>
    <col min="6146" max="6146" width="13.5703125" style="10" customWidth="1"/>
    <col min="6147" max="6147" width="13.140625" style="10" bestFit="1" customWidth="1"/>
    <col min="6148" max="6148" width="11" style="10" customWidth="1"/>
    <col min="6149" max="6400" width="9.140625" style="10"/>
    <col min="6401" max="6401" width="14.42578125" style="10" customWidth="1"/>
    <col min="6402" max="6402" width="13.5703125" style="10" customWidth="1"/>
    <col min="6403" max="6403" width="13.140625" style="10" bestFit="1" customWidth="1"/>
    <col min="6404" max="6404" width="11" style="10" customWidth="1"/>
    <col min="6405" max="6656" width="9.140625" style="10"/>
    <col min="6657" max="6657" width="14.42578125" style="10" customWidth="1"/>
    <col min="6658" max="6658" width="13.5703125" style="10" customWidth="1"/>
    <col min="6659" max="6659" width="13.140625" style="10" bestFit="1" customWidth="1"/>
    <col min="6660" max="6660" width="11" style="10" customWidth="1"/>
    <col min="6661" max="6912" width="9.140625" style="10"/>
    <col min="6913" max="6913" width="14.42578125" style="10" customWidth="1"/>
    <col min="6914" max="6914" width="13.5703125" style="10" customWidth="1"/>
    <col min="6915" max="6915" width="13.140625" style="10" bestFit="1" customWidth="1"/>
    <col min="6916" max="6916" width="11" style="10" customWidth="1"/>
    <col min="6917" max="7168" width="9.140625" style="10"/>
    <col min="7169" max="7169" width="14.42578125" style="10" customWidth="1"/>
    <col min="7170" max="7170" width="13.5703125" style="10" customWidth="1"/>
    <col min="7171" max="7171" width="13.140625" style="10" bestFit="1" customWidth="1"/>
    <col min="7172" max="7172" width="11" style="10" customWidth="1"/>
    <col min="7173" max="7424" width="9.140625" style="10"/>
    <col min="7425" max="7425" width="14.42578125" style="10" customWidth="1"/>
    <col min="7426" max="7426" width="13.5703125" style="10" customWidth="1"/>
    <col min="7427" max="7427" width="13.140625" style="10" bestFit="1" customWidth="1"/>
    <col min="7428" max="7428" width="11" style="10" customWidth="1"/>
    <col min="7429" max="7680" width="9.140625" style="10"/>
    <col min="7681" max="7681" width="14.42578125" style="10" customWidth="1"/>
    <col min="7682" max="7682" width="13.5703125" style="10" customWidth="1"/>
    <col min="7683" max="7683" width="13.140625" style="10" bestFit="1" customWidth="1"/>
    <col min="7684" max="7684" width="11" style="10" customWidth="1"/>
    <col min="7685" max="7936" width="9.140625" style="10"/>
    <col min="7937" max="7937" width="14.42578125" style="10" customWidth="1"/>
    <col min="7938" max="7938" width="13.5703125" style="10" customWidth="1"/>
    <col min="7939" max="7939" width="13.140625" style="10" bestFit="1" customWidth="1"/>
    <col min="7940" max="7940" width="11" style="10" customWidth="1"/>
    <col min="7941" max="8192" width="9.140625" style="10"/>
    <col min="8193" max="8193" width="14.42578125" style="10" customWidth="1"/>
    <col min="8194" max="8194" width="13.5703125" style="10" customWidth="1"/>
    <col min="8195" max="8195" width="13.140625" style="10" bestFit="1" customWidth="1"/>
    <col min="8196" max="8196" width="11" style="10" customWidth="1"/>
    <col min="8197" max="8448" width="9.140625" style="10"/>
    <col min="8449" max="8449" width="14.42578125" style="10" customWidth="1"/>
    <col min="8450" max="8450" width="13.5703125" style="10" customWidth="1"/>
    <col min="8451" max="8451" width="13.140625" style="10" bestFit="1" customWidth="1"/>
    <col min="8452" max="8452" width="11" style="10" customWidth="1"/>
    <col min="8453" max="8704" width="9.140625" style="10"/>
    <col min="8705" max="8705" width="14.42578125" style="10" customWidth="1"/>
    <col min="8706" max="8706" width="13.5703125" style="10" customWidth="1"/>
    <col min="8707" max="8707" width="13.140625" style="10" bestFit="1" customWidth="1"/>
    <col min="8708" max="8708" width="11" style="10" customWidth="1"/>
    <col min="8709" max="8960" width="9.140625" style="10"/>
    <col min="8961" max="8961" width="14.42578125" style="10" customWidth="1"/>
    <col min="8962" max="8962" width="13.5703125" style="10" customWidth="1"/>
    <col min="8963" max="8963" width="13.140625" style="10" bestFit="1" customWidth="1"/>
    <col min="8964" max="8964" width="11" style="10" customWidth="1"/>
    <col min="8965" max="9216" width="9.140625" style="10"/>
    <col min="9217" max="9217" width="14.42578125" style="10" customWidth="1"/>
    <col min="9218" max="9218" width="13.5703125" style="10" customWidth="1"/>
    <col min="9219" max="9219" width="13.140625" style="10" bestFit="1" customWidth="1"/>
    <col min="9220" max="9220" width="11" style="10" customWidth="1"/>
    <col min="9221" max="9472" width="9.140625" style="10"/>
    <col min="9473" max="9473" width="14.42578125" style="10" customWidth="1"/>
    <col min="9474" max="9474" width="13.5703125" style="10" customWidth="1"/>
    <col min="9475" max="9475" width="13.140625" style="10" bestFit="1" customWidth="1"/>
    <col min="9476" max="9476" width="11" style="10" customWidth="1"/>
    <col min="9477" max="9728" width="9.140625" style="10"/>
    <col min="9729" max="9729" width="14.42578125" style="10" customWidth="1"/>
    <col min="9730" max="9730" width="13.5703125" style="10" customWidth="1"/>
    <col min="9731" max="9731" width="13.140625" style="10" bestFit="1" customWidth="1"/>
    <col min="9732" max="9732" width="11" style="10" customWidth="1"/>
    <col min="9733" max="9984" width="9.140625" style="10"/>
    <col min="9985" max="9985" width="14.42578125" style="10" customWidth="1"/>
    <col min="9986" max="9986" width="13.5703125" style="10" customWidth="1"/>
    <col min="9987" max="9987" width="13.140625" style="10" bestFit="1" customWidth="1"/>
    <col min="9988" max="9988" width="11" style="10" customWidth="1"/>
    <col min="9989" max="10240" width="9.140625" style="10"/>
    <col min="10241" max="10241" width="14.42578125" style="10" customWidth="1"/>
    <col min="10242" max="10242" width="13.5703125" style="10" customWidth="1"/>
    <col min="10243" max="10243" width="13.140625" style="10" bestFit="1" customWidth="1"/>
    <col min="10244" max="10244" width="11" style="10" customWidth="1"/>
    <col min="10245" max="10496" width="9.140625" style="10"/>
    <col min="10497" max="10497" width="14.42578125" style="10" customWidth="1"/>
    <col min="10498" max="10498" width="13.5703125" style="10" customWidth="1"/>
    <col min="10499" max="10499" width="13.140625" style="10" bestFit="1" customWidth="1"/>
    <col min="10500" max="10500" width="11" style="10" customWidth="1"/>
    <col min="10501" max="10752" width="9.140625" style="10"/>
    <col min="10753" max="10753" width="14.42578125" style="10" customWidth="1"/>
    <col min="10754" max="10754" width="13.5703125" style="10" customWidth="1"/>
    <col min="10755" max="10755" width="13.140625" style="10" bestFit="1" customWidth="1"/>
    <col min="10756" max="10756" width="11" style="10" customWidth="1"/>
    <col min="10757" max="11008" width="9.140625" style="10"/>
    <col min="11009" max="11009" width="14.42578125" style="10" customWidth="1"/>
    <col min="11010" max="11010" width="13.5703125" style="10" customWidth="1"/>
    <col min="11011" max="11011" width="13.140625" style="10" bestFit="1" customWidth="1"/>
    <col min="11012" max="11012" width="11" style="10" customWidth="1"/>
    <col min="11013" max="11264" width="9.140625" style="10"/>
    <col min="11265" max="11265" width="14.42578125" style="10" customWidth="1"/>
    <col min="11266" max="11266" width="13.5703125" style="10" customWidth="1"/>
    <col min="11267" max="11267" width="13.140625" style="10" bestFit="1" customWidth="1"/>
    <col min="11268" max="11268" width="11" style="10" customWidth="1"/>
    <col min="11269" max="11520" width="9.140625" style="10"/>
    <col min="11521" max="11521" width="14.42578125" style="10" customWidth="1"/>
    <col min="11522" max="11522" width="13.5703125" style="10" customWidth="1"/>
    <col min="11523" max="11523" width="13.140625" style="10" bestFit="1" customWidth="1"/>
    <col min="11524" max="11524" width="11" style="10" customWidth="1"/>
    <col min="11525" max="11776" width="9.140625" style="10"/>
    <col min="11777" max="11777" width="14.42578125" style="10" customWidth="1"/>
    <col min="11778" max="11778" width="13.5703125" style="10" customWidth="1"/>
    <col min="11779" max="11779" width="13.140625" style="10" bestFit="1" customWidth="1"/>
    <col min="11780" max="11780" width="11" style="10" customWidth="1"/>
    <col min="11781" max="12032" width="9.140625" style="10"/>
    <col min="12033" max="12033" width="14.42578125" style="10" customWidth="1"/>
    <col min="12034" max="12034" width="13.5703125" style="10" customWidth="1"/>
    <col min="12035" max="12035" width="13.140625" style="10" bestFit="1" customWidth="1"/>
    <col min="12036" max="12036" width="11" style="10" customWidth="1"/>
    <col min="12037" max="12288" width="9.140625" style="10"/>
    <col min="12289" max="12289" width="14.42578125" style="10" customWidth="1"/>
    <col min="12290" max="12290" width="13.5703125" style="10" customWidth="1"/>
    <col min="12291" max="12291" width="13.140625" style="10" bestFit="1" customWidth="1"/>
    <col min="12292" max="12292" width="11" style="10" customWidth="1"/>
    <col min="12293" max="12544" width="9.140625" style="10"/>
    <col min="12545" max="12545" width="14.42578125" style="10" customWidth="1"/>
    <col min="12546" max="12546" width="13.5703125" style="10" customWidth="1"/>
    <col min="12547" max="12547" width="13.140625" style="10" bestFit="1" customWidth="1"/>
    <col min="12548" max="12548" width="11" style="10" customWidth="1"/>
    <col min="12549" max="12800" width="9.140625" style="10"/>
    <col min="12801" max="12801" width="14.42578125" style="10" customWidth="1"/>
    <col min="12802" max="12802" width="13.5703125" style="10" customWidth="1"/>
    <col min="12803" max="12803" width="13.140625" style="10" bestFit="1" customWidth="1"/>
    <col min="12804" max="12804" width="11" style="10" customWidth="1"/>
    <col min="12805" max="13056" width="9.140625" style="10"/>
    <col min="13057" max="13057" width="14.42578125" style="10" customWidth="1"/>
    <col min="13058" max="13058" width="13.5703125" style="10" customWidth="1"/>
    <col min="13059" max="13059" width="13.140625" style="10" bestFit="1" customWidth="1"/>
    <col min="13060" max="13060" width="11" style="10" customWidth="1"/>
    <col min="13061" max="13312" width="9.140625" style="10"/>
    <col min="13313" max="13313" width="14.42578125" style="10" customWidth="1"/>
    <col min="13314" max="13314" width="13.5703125" style="10" customWidth="1"/>
    <col min="13315" max="13315" width="13.140625" style="10" bestFit="1" customWidth="1"/>
    <col min="13316" max="13316" width="11" style="10" customWidth="1"/>
    <col min="13317" max="13568" width="9.140625" style="10"/>
    <col min="13569" max="13569" width="14.42578125" style="10" customWidth="1"/>
    <col min="13570" max="13570" width="13.5703125" style="10" customWidth="1"/>
    <col min="13571" max="13571" width="13.140625" style="10" bestFit="1" customWidth="1"/>
    <col min="13572" max="13572" width="11" style="10" customWidth="1"/>
    <col min="13573" max="13824" width="9.140625" style="10"/>
    <col min="13825" max="13825" width="14.42578125" style="10" customWidth="1"/>
    <col min="13826" max="13826" width="13.5703125" style="10" customWidth="1"/>
    <col min="13827" max="13827" width="13.140625" style="10" bestFit="1" customWidth="1"/>
    <col min="13828" max="13828" width="11" style="10" customWidth="1"/>
    <col min="13829" max="14080" width="9.140625" style="10"/>
    <col min="14081" max="14081" width="14.42578125" style="10" customWidth="1"/>
    <col min="14082" max="14082" width="13.5703125" style="10" customWidth="1"/>
    <col min="14083" max="14083" width="13.140625" style="10" bestFit="1" customWidth="1"/>
    <col min="14084" max="14084" width="11" style="10" customWidth="1"/>
    <col min="14085" max="14336" width="9.140625" style="10"/>
    <col min="14337" max="14337" width="14.42578125" style="10" customWidth="1"/>
    <col min="14338" max="14338" width="13.5703125" style="10" customWidth="1"/>
    <col min="14339" max="14339" width="13.140625" style="10" bestFit="1" customWidth="1"/>
    <col min="14340" max="14340" width="11" style="10" customWidth="1"/>
    <col min="14341" max="14592" width="9.140625" style="10"/>
    <col min="14593" max="14593" width="14.42578125" style="10" customWidth="1"/>
    <col min="14594" max="14594" width="13.5703125" style="10" customWidth="1"/>
    <col min="14595" max="14595" width="13.140625" style="10" bestFit="1" customWidth="1"/>
    <col min="14596" max="14596" width="11" style="10" customWidth="1"/>
    <col min="14597" max="14848" width="9.140625" style="10"/>
    <col min="14849" max="14849" width="14.42578125" style="10" customWidth="1"/>
    <col min="14850" max="14850" width="13.5703125" style="10" customWidth="1"/>
    <col min="14851" max="14851" width="13.140625" style="10" bestFit="1" customWidth="1"/>
    <col min="14852" max="14852" width="11" style="10" customWidth="1"/>
    <col min="14853" max="15104" width="9.140625" style="10"/>
    <col min="15105" max="15105" width="14.42578125" style="10" customWidth="1"/>
    <col min="15106" max="15106" width="13.5703125" style="10" customWidth="1"/>
    <col min="15107" max="15107" width="13.140625" style="10" bestFit="1" customWidth="1"/>
    <col min="15108" max="15108" width="11" style="10" customWidth="1"/>
    <col min="15109" max="15360" width="9.140625" style="10"/>
    <col min="15361" max="15361" width="14.42578125" style="10" customWidth="1"/>
    <col min="15362" max="15362" width="13.5703125" style="10" customWidth="1"/>
    <col min="15363" max="15363" width="13.140625" style="10" bestFit="1" customWidth="1"/>
    <col min="15364" max="15364" width="11" style="10" customWidth="1"/>
    <col min="15365" max="15616" width="9.140625" style="10"/>
    <col min="15617" max="15617" width="14.42578125" style="10" customWidth="1"/>
    <col min="15618" max="15618" width="13.5703125" style="10" customWidth="1"/>
    <col min="15619" max="15619" width="13.140625" style="10" bestFit="1" customWidth="1"/>
    <col min="15620" max="15620" width="11" style="10" customWidth="1"/>
    <col min="15621" max="15872" width="9.140625" style="10"/>
    <col min="15873" max="15873" width="14.42578125" style="10" customWidth="1"/>
    <col min="15874" max="15874" width="13.5703125" style="10" customWidth="1"/>
    <col min="15875" max="15875" width="13.140625" style="10" bestFit="1" customWidth="1"/>
    <col min="15876" max="15876" width="11" style="10" customWidth="1"/>
    <col min="15877" max="16128" width="9.140625" style="10"/>
    <col min="16129" max="16129" width="14.42578125" style="10" customWidth="1"/>
    <col min="16130" max="16130" width="13.5703125" style="10" customWidth="1"/>
    <col min="16131" max="16131" width="13.140625" style="10" bestFit="1" customWidth="1"/>
    <col min="16132" max="16132" width="11" style="10" customWidth="1"/>
    <col min="16133" max="16384" width="9.140625" style="10"/>
  </cols>
  <sheetData>
    <row r="1" spans="1:4" x14ac:dyDescent="0.2">
      <c r="A1" s="9" t="s">
        <v>10</v>
      </c>
    </row>
    <row r="3" spans="1:4" x14ac:dyDescent="0.2">
      <c r="A3" s="10" t="s">
        <v>1</v>
      </c>
      <c r="B3" s="11" t="b">
        <f>'Unit Conversion'!I24</f>
        <v>0</v>
      </c>
    </row>
    <row r="4" spans="1:4" x14ac:dyDescent="0.2">
      <c r="A4" s="10" t="s">
        <v>11</v>
      </c>
      <c r="B4" s="10" t="str">
        <f>IF(ISERR(FIND(".",B3)),"No","Yes")</f>
        <v>No</v>
      </c>
    </row>
    <row r="6" spans="1:4" x14ac:dyDescent="0.2">
      <c r="A6" s="10" t="s">
        <v>12</v>
      </c>
      <c r="B6" s="10" t="str">
        <f>IF(LEFT(B3,1)="0","Yes","")</f>
        <v/>
      </c>
    </row>
    <row r="7" spans="1:4" x14ac:dyDescent="0.2">
      <c r="A7" s="10" t="s">
        <v>13</v>
      </c>
      <c r="B7" s="10" t="str">
        <f>IF(RIGHT(B3,1)="0","Yes","")</f>
        <v/>
      </c>
    </row>
    <row r="9" spans="1:4" x14ac:dyDescent="0.2">
      <c r="B9" s="11" t="s">
        <v>1</v>
      </c>
      <c r="C9" s="11" t="s">
        <v>14</v>
      </c>
      <c r="D9" s="11" t="s">
        <v>15</v>
      </c>
    </row>
    <row r="10" spans="1:4" x14ac:dyDescent="0.2">
      <c r="A10" s="10" t="s">
        <v>16</v>
      </c>
      <c r="B10" s="12" t="e">
        <f>IF(AND(LEFT(B3,1)&lt;&gt;"",LEFT(B3,1)&lt;&gt;"."),VALUE(LEFT(B3,1)),LEFT(B3,1))</f>
        <v>#VALUE!</v>
      </c>
      <c r="C10" s="12" t="e">
        <f t="shared" ref="C10:C22" si="0">IF(B10&lt;&gt;"",IF(AND(B10&lt;&gt;0,B10&lt;&gt;"."),"Yes","No"),"")</f>
        <v>#VALUE!</v>
      </c>
      <c r="D10" s="12" t="e">
        <f>IF(AND(B10&lt;&gt;"",B10&lt;&gt;".",C10="No"),IF(AND(SUM($B9:B$10)&gt;0,OR(SUM(B11:$B$22)&gt;0,$B$4="Yes")),"Yes","No"),"")</f>
        <v>#VALUE!</v>
      </c>
    </row>
    <row r="11" spans="1:4" x14ac:dyDescent="0.2">
      <c r="A11" s="10" t="s">
        <v>17</v>
      </c>
      <c r="B11" s="12" t="e">
        <f>IF(AND(MID(B3,2,1)&lt;&gt;"",MID(B3,2,1)&lt;&gt;"."),VALUE(MID(B3,2,1)),MID(B3,2,1))</f>
        <v>#VALUE!</v>
      </c>
      <c r="C11" s="12" t="e">
        <f t="shared" si="0"/>
        <v>#VALUE!</v>
      </c>
      <c r="D11" s="12" t="e">
        <f>IF(AND(B11&lt;&gt;"",B11&lt;&gt;".",C11="No"),IF(AND(SUM($B$10:B10)&gt;0,OR(SUM(B12:$B$22)&gt;0,$B$4="Yes")),"Yes","No"),"")</f>
        <v>#VALUE!</v>
      </c>
    </row>
    <row r="12" spans="1:4" x14ac:dyDescent="0.2">
      <c r="A12" s="10" t="s">
        <v>18</v>
      </c>
      <c r="B12" s="12" t="e">
        <f>IF(AND(MID(B3,3,1)&lt;&gt;"",MID(B3,3,1)&lt;&gt;"."),VALUE(MID(B3,3,1)),MID(B3,3,1))</f>
        <v>#VALUE!</v>
      </c>
      <c r="C12" s="12" t="e">
        <f t="shared" si="0"/>
        <v>#VALUE!</v>
      </c>
      <c r="D12" s="12" t="e">
        <f>IF(AND(B12&lt;&gt;"",B12&lt;&gt;".",C12="No"),IF(AND(SUM($B$10:B11)&gt;0,OR(SUM(B13:$B$22)&gt;0,$B$4="Yes")),"Yes","No"),"")</f>
        <v>#VALUE!</v>
      </c>
    </row>
    <row r="13" spans="1:4" x14ac:dyDescent="0.2">
      <c r="A13" s="10" t="s">
        <v>19</v>
      </c>
      <c r="B13" s="12" t="e">
        <f>IF(AND(MID(B3,4,1)&lt;&gt;"",MID(B3,4,1)&lt;&gt;"."),VALUE(MID(B3,4,1)),MID(B3,4,1))</f>
        <v>#VALUE!</v>
      </c>
      <c r="C13" s="12" t="e">
        <f t="shared" si="0"/>
        <v>#VALUE!</v>
      </c>
      <c r="D13" s="12" t="e">
        <f>IF(AND(B13&lt;&gt;"",B13&lt;&gt;".",C13="No"),IF(AND(SUM($B$10:B12)&gt;0,OR(SUM(B14:$B$22)&gt;0,$B$4="Yes")),"Yes","No"),"")</f>
        <v>#VALUE!</v>
      </c>
    </row>
    <row r="14" spans="1:4" x14ac:dyDescent="0.2">
      <c r="A14" s="10" t="s">
        <v>20</v>
      </c>
      <c r="B14" s="12" t="e">
        <f>IF(AND(MID(B3,5,1)&lt;&gt;"",MID(B3,5,1)&lt;&gt;"."),VALUE(MID(B3,5,1)),MID(B3,5,1))</f>
        <v>#VALUE!</v>
      </c>
      <c r="C14" s="12" t="e">
        <f t="shared" si="0"/>
        <v>#VALUE!</v>
      </c>
      <c r="D14" s="12" t="e">
        <f>IF(AND(B14&lt;&gt;"",B14&lt;&gt;".",C14="No"),IF(AND(SUM($B$10:B13)&gt;0,OR(SUM(B15:$B$22)&gt;0,$B$4="Yes")),"Yes","No"),"")</f>
        <v>#VALUE!</v>
      </c>
    </row>
    <row r="15" spans="1:4" x14ac:dyDescent="0.2">
      <c r="A15" s="10" t="s">
        <v>21</v>
      </c>
      <c r="B15" s="12" t="str">
        <f>IF(AND(MID(B3,6,1)&lt;&gt;"",MID(B3,6,1)&lt;&gt;"."),VALUE(MID(B3,6,1)),MID(B3,6,1))</f>
        <v/>
      </c>
      <c r="C15" s="12" t="str">
        <f t="shared" si="0"/>
        <v/>
      </c>
      <c r="D15" s="12" t="str">
        <f>IF(AND(B15&lt;&gt;"",B15&lt;&gt;".",C15="No"),IF(AND(SUM($B$10:B14)&gt;0,OR(SUM(B16:$B$22)&gt;0,$B$4="Yes")),"Yes","No"),"")</f>
        <v/>
      </c>
    </row>
    <row r="16" spans="1:4" x14ac:dyDescent="0.2">
      <c r="A16" s="10" t="s">
        <v>22</v>
      </c>
      <c r="B16" s="12" t="str">
        <f>IF(AND(MID(B3,7,1)&lt;&gt;"",MID(B3,7,1)&lt;&gt;"."),VALUE(MID(B3,7,1)),MID(B3,7,1))</f>
        <v/>
      </c>
      <c r="C16" s="12" t="str">
        <f t="shared" si="0"/>
        <v/>
      </c>
      <c r="D16" s="12" t="str">
        <f>IF(AND(B16&lt;&gt;"",B16&lt;&gt;".",C16="No"),IF(AND(SUM($B$10:B15)&gt;0,OR(SUM(B17:$B$22)&gt;0,$B$4="Yes")),"Yes","No"),"")</f>
        <v/>
      </c>
    </row>
    <row r="17" spans="1:4" x14ac:dyDescent="0.2">
      <c r="A17" s="10" t="s">
        <v>23</v>
      </c>
      <c r="B17" s="12" t="str">
        <f>IF(AND(MID(B3,8,1)&lt;&gt;"",MID(B3,8,1)&lt;&gt;"."),VALUE(MID(B3,8,1)),MID(B3,8,1))</f>
        <v/>
      </c>
      <c r="C17" s="12" t="str">
        <f t="shared" si="0"/>
        <v/>
      </c>
      <c r="D17" s="12" t="str">
        <f>IF(AND(B17&lt;&gt;"",B17&lt;&gt;".",C17="No"),IF(AND(SUM($B$10:B16)&gt;0,OR(SUM(B18:$B$22)&gt;0,$B$4="Yes")),"Yes","No"),"")</f>
        <v/>
      </c>
    </row>
    <row r="18" spans="1:4" x14ac:dyDescent="0.2">
      <c r="A18" s="10" t="s">
        <v>24</v>
      </c>
      <c r="B18" s="12" t="str">
        <f>IF(AND(MID(B3,9,1)&lt;&gt;"",MID(B3,9,1)&lt;&gt;"."),VALUE(MID(B3,9,1)),MID(B3,9,1))</f>
        <v/>
      </c>
      <c r="C18" s="12" t="str">
        <f t="shared" si="0"/>
        <v/>
      </c>
      <c r="D18" s="12" t="str">
        <f>IF(AND(B18&lt;&gt;"",B18&lt;&gt;".",C18="No"),IF(AND(SUM($B$10:B17)&gt;0,OR(SUM(B19:$B$22)&gt;0,$B$4="Yes")),"Yes","No"),"")</f>
        <v/>
      </c>
    </row>
    <row r="19" spans="1:4" x14ac:dyDescent="0.2">
      <c r="A19" s="10" t="s">
        <v>25</v>
      </c>
      <c r="B19" s="12" t="str">
        <f>IF(AND(MID(B3,10,1)&lt;&gt;"",MID(B3,10,1)&lt;&gt;"."),VALUE(MID(B3,10,1)),MID(B3,10,1))</f>
        <v/>
      </c>
      <c r="C19" s="12" t="str">
        <f t="shared" si="0"/>
        <v/>
      </c>
      <c r="D19" s="12" t="str">
        <f>IF(AND(B19&lt;&gt;"",B19&lt;&gt;".",C19="No"),IF(AND(SUM($B$10:B18)&gt;0,OR(SUM(B20:$B$22)&gt;0,$B$4="Yes")),"Yes","No"),"")</f>
        <v/>
      </c>
    </row>
    <row r="20" spans="1:4" x14ac:dyDescent="0.2">
      <c r="A20" s="10" t="s">
        <v>26</v>
      </c>
      <c r="B20" s="12" t="str">
        <f>IF(AND(MID(B3,11,1)&lt;&gt;"",MID(B3,11,1)&lt;&gt;"."),VALUE(MID(B3,11,1)),MID(B3,11,1))</f>
        <v/>
      </c>
      <c r="C20" s="12" t="str">
        <f t="shared" si="0"/>
        <v/>
      </c>
      <c r="D20" s="12" t="str">
        <f>IF(AND(B20&lt;&gt;"",B20&lt;&gt;".",C20="No"),IF(AND(SUM($B$10:B19)&gt;0,OR(SUM(B21:$B$22)&gt;0,$B$4="Yes")),"Yes","No"),"")</f>
        <v/>
      </c>
    </row>
    <row r="21" spans="1:4" x14ac:dyDescent="0.2">
      <c r="A21" s="10" t="s">
        <v>27</v>
      </c>
      <c r="B21" s="12" t="str">
        <f>IF(AND(MID(B3,12,1)&lt;&gt;"",MID(B3,12,1)&lt;&gt;"."),VALUE(MID(B3,12,1)),MID(B3,12,1))</f>
        <v/>
      </c>
      <c r="C21" s="12" t="str">
        <f t="shared" si="0"/>
        <v/>
      </c>
      <c r="D21" s="12" t="str">
        <f>IF(AND(B21&lt;&gt;"",B21&lt;&gt;".",C21="No"),IF(AND(SUM($B$10:B20)&gt;0,OR(SUM(B22:$B$22)&gt;0,$B$4="Yes")),"Yes","No"),"")</f>
        <v/>
      </c>
    </row>
    <row r="22" spans="1:4" x14ac:dyDescent="0.2">
      <c r="A22" s="10" t="s">
        <v>28</v>
      </c>
      <c r="B22" s="12" t="str">
        <f>IF(AND(MID(B3,13,1)&lt;&gt;"",MID(B3,13,1)&lt;&gt;"."),VALUE(MID(B3,13,1)),MID(B3,13,1))</f>
        <v/>
      </c>
      <c r="C22" s="12" t="str">
        <f t="shared" si="0"/>
        <v/>
      </c>
      <c r="D22" s="12" t="str">
        <f>IF(AND(B22&lt;&gt;"",B22&lt;&gt;".",C22="No"),IF(AND(SUM($B$10:B21)&gt;0,OR(SUM(B$22:$B23)&gt;0,$B$4="Yes")),"Yes","No"),"")</f>
        <v/>
      </c>
    </row>
    <row r="23" spans="1:4" x14ac:dyDescent="0.2">
      <c r="C23" s="11">
        <f>COUNTIF(C10:C22,"Yes")</f>
        <v>0</v>
      </c>
      <c r="D23" s="11">
        <f>COUNTIF(D10:D22,"Yes")</f>
        <v>0</v>
      </c>
    </row>
    <row r="24" spans="1:4" ht="15" x14ac:dyDescent="0.25">
      <c r="B24" s="13" t="s">
        <v>29</v>
      </c>
      <c r="C24" s="14">
        <f>C23+D23</f>
        <v>0</v>
      </c>
    </row>
    <row r="25" spans="1:4" ht="15" x14ac:dyDescent="0.25">
      <c r="B25" s="13"/>
      <c r="C25" s="14"/>
    </row>
    <row r="26" spans="1:4" x14ac:dyDescent="0.2">
      <c r="A26" s="10" t="s">
        <v>30</v>
      </c>
    </row>
    <row r="28" spans="1:4" x14ac:dyDescent="0.2">
      <c r="A28" s="15" t="s">
        <v>31</v>
      </c>
    </row>
    <row r="30" spans="1:4" x14ac:dyDescent="0.2">
      <c r="A30" s="15" t="s">
        <v>32</v>
      </c>
    </row>
    <row r="32" spans="1:4" x14ac:dyDescent="0.2">
      <c r="A32" s="15" t="s">
        <v>33</v>
      </c>
    </row>
    <row r="34" spans="1:1" x14ac:dyDescent="0.2">
      <c r="A34" s="15" t="s">
        <v>34</v>
      </c>
    </row>
  </sheetData>
  <pageMargins left="0.75" right="0.75" top="1" bottom="1" header="0.5" footer="0.5"/>
  <pageSetup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I8"/>
  <sheetViews>
    <sheetView workbookViewId="0">
      <selection activeCell="B6" sqref="B6"/>
    </sheetView>
  </sheetViews>
  <sheetFormatPr defaultColWidth="0" defaultRowHeight="12.75" zeroHeight="1" x14ac:dyDescent="0.2"/>
  <cols>
    <col min="1" max="1" width="2.7109375" customWidth="1"/>
    <col min="2" max="2" width="12.5703125" customWidth="1"/>
    <col min="3" max="4" width="14.7109375" customWidth="1"/>
    <col min="5" max="6" width="18.7109375" customWidth="1"/>
    <col min="7" max="7" width="16.7109375" customWidth="1"/>
    <col min="8" max="8" width="12.7109375" customWidth="1"/>
    <col min="9" max="9" width="2.7109375" customWidth="1"/>
    <col min="10" max="16384" width="9.140625" hidden="1"/>
  </cols>
  <sheetData>
    <row r="1" spans="1:9" ht="22.5" customHeight="1" x14ac:dyDescent="0.2">
      <c r="A1" s="23"/>
      <c r="B1" s="24"/>
      <c r="C1" s="24"/>
      <c r="D1" s="24"/>
      <c r="E1" s="24"/>
      <c r="F1" s="24"/>
      <c r="G1" s="24"/>
      <c r="H1" s="24"/>
      <c r="I1" s="25"/>
    </row>
    <row r="2" spans="1:9" ht="27.75" customHeight="1" x14ac:dyDescent="0.2">
      <c r="A2" s="23"/>
      <c r="B2" s="26" t="s">
        <v>146</v>
      </c>
      <c r="C2" s="24"/>
      <c r="D2" s="24"/>
      <c r="E2" s="24"/>
      <c r="F2" s="24"/>
      <c r="G2" s="24"/>
      <c r="H2" s="24"/>
      <c r="I2" s="25"/>
    </row>
    <row r="3" spans="1:9" ht="11.25" customHeight="1" x14ac:dyDescent="0.2">
      <c r="A3" s="23"/>
      <c r="B3" s="27"/>
      <c r="C3" s="24"/>
      <c r="D3" s="24"/>
      <c r="E3" s="24"/>
      <c r="F3" s="24"/>
      <c r="G3" s="24"/>
      <c r="H3" s="24"/>
      <c r="I3" s="25"/>
    </row>
    <row r="4" spans="1:9" ht="18.75" customHeight="1" x14ac:dyDescent="0.2">
      <c r="A4" s="23"/>
      <c r="B4" s="47" t="s">
        <v>155</v>
      </c>
      <c r="C4" s="47"/>
      <c r="D4" s="47"/>
      <c r="E4" s="47"/>
      <c r="F4" s="47"/>
      <c r="G4" s="47"/>
      <c r="H4" s="47"/>
      <c r="I4" s="25"/>
    </row>
    <row r="5" spans="1:9" ht="45" x14ac:dyDescent="0.2">
      <c r="A5" s="23"/>
      <c r="B5" s="28" t="s">
        <v>147</v>
      </c>
      <c r="C5" s="29" t="s">
        <v>148</v>
      </c>
      <c r="D5" s="29" t="s">
        <v>149</v>
      </c>
      <c r="E5" s="29" t="s">
        <v>150</v>
      </c>
      <c r="F5" s="29" t="s">
        <v>151</v>
      </c>
      <c r="G5" s="29" t="s">
        <v>152</v>
      </c>
      <c r="H5" s="30" t="s">
        <v>153</v>
      </c>
      <c r="I5" s="25"/>
    </row>
    <row r="6" spans="1:9" ht="18" customHeight="1" x14ac:dyDescent="0.2">
      <c r="A6" s="18"/>
      <c r="B6" s="19"/>
      <c r="C6" s="20"/>
      <c r="D6" s="20"/>
      <c r="E6" s="21" t="str">
        <f>IF(AND(B6&lt;&gt;"",C6&lt;&gt;""),B6*C6*8.34,"")</f>
        <v/>
      </c>
      <c r="F6" s="31" t="str">
        <f>IF(AND(B6&lt;&gt;"",D6&lt;&gt;""),B6*D6*8.34,"")</f>
        <v/>
      </c>
      <c r="G6" s="31" t="str">
        <f>IF(AND(B6&lt;&gt;"",C6&lt;&gt;"",D6&lt;&gt;""),(C6-D6)*B6*8.34,"")</f>
        <v/>
      </c>
      <c r="H6" s="32" t="str">
        <f>IF(AND(B6&lt;&gt;"",C6&lt;&gt;"",D6&lt;&gt;""),(C6-D6)/C6,"")</f>
        <v/>
      </c>
      <c r="I6" s="22"/>
    </row>
    <row r="7" spans="1:9" x14ac:dyDescent="0.2">
      <c r="A7" s="22"/>
      <c r="B7" s="22"/>
      <c r="C7" s="22"/>
      <c r="D7" s="22"/>
      <c r="E7" s="22"/>
      <c r="F7" s="22"/>
      <c r="G7" s="22"/>
      <c r="H7" s="22"/>
      <c r="I7" s="22"/>
    </row>
    <row r="8" spans="1:9" hidden="1" x14ac:dyDescent="0.2">
      <c r="I8" s="22"/>
    </row>
  </sheetData>
  <sheetProtection password="CC39" sheet="1" objects="1" scenarios="1" selectLockedCells="1"/>
  <mergeCells count="1">
    <mergeCell ref="B4:H4"/>
  </mergeCells>
  <dataValidations count="1">
    <dataValidation type="decimal" allowBlank="1" showInputMessage="1" showErrorMessage="1" sqref="B6:D6">
      <formula1>0.000001</formula1>
      <formula2>999999.999</formula2>
    </dataValidation>
  </dataValidations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/>
  </sheetPr>
  <dimension ref="A1:I39"/>
  <sheetViews>
    <sheetView workbookViewId="0">
      <selection activeCell="B6" sqref="B6"/>
    </sheetView>
  </sheetViews>
  <sheetFormatPr defaultColWidth="0" defaultRowHeight="12.75" customHeight="1" zeroHeight="1" x14ac:dyDescent="0.2"/>
  <cols>
    <col min="1" max="1" width="2.7109375" customWidth="1"/>
    <col min="2" max="2" width="12.5703125" customWidth="1"/>
    <col min="3" max="4" width="14.7109375" customWidth="1"/>
    <col min="5" max="6" width="18.7109375" customWidth="1"/>
    <col min="7" max="7" width="16.7109375" customWidth="1"/>
    <col min="8" max="8" width="12.7109375" customWidth="1"/>
    <col min="9" max="9" width="2.7109375" customWidth="1"/>
    <col min="10" max="16384" width="9.140625" hidden="1"/>
  </cols>
  <sheetData>
    <row r="1" spans="1:9" ht="22.5" customHeight="1" x14ac:dyDescent="0.2">
      <c r="A1" s="23"/>
      <c r="B1" s="24"/>
      <c r="C1" s="24"/>
      <c r="D1" s="24"/>
      <c r="E1" s="24"/>
      <c r="F1" s="24"/>
      <c r="G1" s="24"/>
      <c r="H1" s="24"/>
      <c r="I1" s="25"/>
    </row>
    <row r="2" spans="1:9" ht="27.75" customHeight="1" x14ac:dyDescent="0.2">
      <c r="A2" s="23"/>
      <c r="B2" s="33" t="s">
        <v>156</v>
      </c>
      <c r="C2" s="24"/>
      <c r="D2" s="24"/>
      <c r="E2" s="24"/>
      <c r="F2" s="45" t="s">
        <v>163</v>
      </c>
      <c r="G2" s="24"/>
      <c r="H2" s="24"/>
      <c r="I2" s="25"/>
    </row>
    <row r="3" spans="1:9" ht="11.25" customHeight="1" x14ac:dyDescent="0.2">
      <c r="A3" s="23"/>
      <c r="B3" s="27"/>
      <c r="C3" s="24"/>
      <c r="D3" s="24"/>
      <c r="E3" s="24"/>
      <c r="F3" s="24"/>
      <c r="G3" s="24"/>
      <c r="H3" s="24"/>
      <c r="I3" s="25"/>
    </row>
    <row r="4" spans="1:9" ht="18.75" customHeight="1" x14ac:dyDescent="0.2">
      <c r="A4" s="23"/>
      <c r="B4" s="47" t="s">
        <v>162</v>
      </c>
      <c r="C4" s="47"/>
      <c r="D4" s="47"/>
      <c r="E4" s="47"/>
      <c r="F4" s="47"/>
      <c r="G4" s="47"/>
      <c r="H4" s="47"/>
      <c r="I4" s="25"/>
    </row>
    <row r="5" spans="1:9" ht="60" x14ac:dyDescent="0.2">
      <c r="A5" s="23"/>
      <c r="B5" s="34" t="s">
        <v>147</v>
      </c>
      <c r="C5" s="35" t="s">
        <v>157</v>
      </c>
      <c r="D5" s="35" t="s">
        <v>158</v>
      </c>
      <c r="E5" s="35" t="s">
        <v>159</v>
      </c>
      <c r="F5" s="35" t="s">
        <v>160</v>
      </c>
      <c r="G5" s="35" t="s">
        <v>161</v>
      </c>
      <c r="H5" s="36" t="s">
        <v>154</v>
      </c>
      <c r="I5" s="25"/>
    </row>
    <row r="6" spans="1:9" ht="18" customHeight="1" x14ac:dyDescent="0.2">
      <c r="A6" s="18"/>
      <c r="B6" s="37"/>
      <c r="C6" s="38"/>
      <c r="D6" s="40"/>
      <c r="E6" s="41"/>
      <c r="F6" s="39" t="str">
        <f>IF(AND(B6&lt;&gt;"",C6&lt;&gt;""),B6*C6*8.34,"")</f>
        <v/>
      </c>
      <c r="G6" s="39" t="str">
        <f>IF(AND(D6&lt;&gt;"",E6&lt;&gt;""),(D6/1000000)*E6*8.34,"")</f>
        <v/>
      </c>
      <c r="H6" s="42" t="str">
        <f>IF(AND(F6&lt;&gt;"",G6&lt;&gt;""),F6/G6,"")</f>
        <v/>
      </c>
      <c r="I6" s="22"/>
    </row>
    <row r="7" spans="1:9" x14ac:dyDescent="0.2">
      <c r="A7" s="22"/>
      <c r="B7" s="22"/>
      <c r="C7" s="22"/>
      <c r="D7" s="22"/>
      <c r="E7" s="22"/>
      <c r="F7" s="22"/>
      <c r="G7" s="22"/>
      <c r="H7" s="22"/>
      <c r="I7" s="22"/>
    </row>
    <row r="8" spans="1:9" ht="15" hidden="1" customHeight="1" x14ac:dyDescent="0.2">
      <c r="B8" s="44"/>
      <c r="C8" s="44"/>
      <c r="D8" s="44"/>
      <c r="E8" s="44"/>
      <c r="F8" s="44"/>
      <c r="G8" s="44"/>
      <c r="H8" s="44"/>
    </row>
    <row r="9" spans="1:9" ht="15" hidden="1" customHeight="1" x14ac:dyDescent="0.2">
      <c r="B9" s="44"/>
      <c r="C9" s="44"/>
      <c r="D9" s="44"/>
      <c r="E9" s="44"/>
      <c r="F9" s="44"/>
      <c r="G9" s="44"/>
      <c r="H9" s="44"/>
    </row>
    <row r="10" spans="1:9" ht="15" hidden="1" customHeight="1" x14ac:dyDescent="0.2">
      <c r="B10" s="44"/>
      <c r="C10" s="44"/>
      <c r="D10" s="44"/>
      <c r="E10" s="44"/>
      <c r="F10" s="44"/>
      <c r="G10" s="44"/>
      <c r="H10" s="44"/>
    </row>
    <row r="11" spans="1:9" ht="15" hidden="1" customHeight="1" x14ac:dyDescent="0.2">
      <c r="B11" s="44"/>
      <c r="C11" s="44"/>
      <c r="D11" s="44"/>
      <c r="E11" s="44"/>
      <c r="F11" s="44"/>
      <c r="G11" s="44"/>
      <c r="H11" s="44"/>
    </row>
    <row r="12" spans="1:9" ht="15" hidden="1" customHeight="1" x14ac:dyDescent="0.2">
      <c r="B12" s="44"/>
      <c r="C12" s="44"/>
      <c r="D12" s="44"/>
      <c r="E12" s="44"/>
      <c r="F12" s="44"/>
      <c r="G12" s="44"/>
      <c r="H12" s="44"/>
    </row>
    <row r="13" spans="1:9" ht="15" hidden="1" customHeight="1" x14ac:dyDescent="0.2">
      <c r="B13" s="44"/>
      <c r="C13" s="44"/>
      <c r="D13" s="44"/>
      <c r="E13" s="44"/>
      <c r="F13" s="44"/>
      <c r="G13" s="44"/>
      <c r="H13" s="44"/>
    </row>
    <row r="14" spans="1:9" ht="15" hidden="1" customHeight="1" x14ac:dyDescent="0.2">
      <c r="B14" s="44"/>
      <c r="C14" s="44"/>
      <c r="D14" s="44"/>
      <c r="E14" s="44"/>
      <c r="F14" s="44"/>
      <c r="G14" s="44"/>
      <c r="H14" s="44"/>
    </row>
    <row r="15" spans="1:9" ht="15" hidden="1" customHeight="1" x14ac:dyDescent="0.2">
      <c r="B15" s="44"/>
      <c r="C15" s="44"/>
      <c r="D15" s="44"/>
      <c r="E15" s="44"/>
      <c r="F15" s="44"/>
      <c r="G15" s="44"/>
      <c r="H15" s="44"/>
    </row>
    <row r="16" spans="1:9" ht="15" hidden="1" customHeight="1" x14ac:dyDescent="0.2">
      <c r="B16" s="44"/>
      <c r="C16" s="44"/>
      <c r="D16" s="44"/>
      <c r="E16" s="44"/>
      <c r="F16" s="44"/>
      <c r="G16" s="44"/>
      <c r="H16" s="44"/>
    </row>
    <row r="17" spans="2:8" ht="15" hidden="1" customHeight="1" x14ac:dyDescent="0.2">
      <c r="B17" s="44"/>
      <c r="C17" s="44"/>
      <c r="D17" s="44"/>
      <c r="E17" s="44"/>
      <c r="F17" s="44"/>
      <c r="G17" s="44"/>
      <c r="H17" s="44"/>
    </row>
    <row r="18" spans="2:8" ht="15" hidden="1" customHeight="1" x14ac:dyDescent="0.2">
      <c r="B18" s="44"/>
      <c r="C18" s="44"/>
      <c r="D18" s="44"/>
      <c r="E18" s="44"/>
      <c r="F18" s="44"/>
      <c r="G18" s="44"/>
      <c r="H18" s="44"/>
    </row>
    <row r="19" spans="2:8" ht="15" hidden="1" customHeight="1" x14ac:dyDescent="0.2">
      <c r="B19" s="44"/>
      <c r="C19" s="44"/>
      <c r="D19" s="44"/>
      <c r="E19" s="44"/>
      <c r="F19" s="44"/>
      <c r="G19" s="44"/>
      <c r="H19" s="44"/>
    </row>
    <row r="20" spans="2:8" ht="15" hidden="1" customHeight="1" x14ac:dyDescent="0.2">
      <c r="B20" s="44"/>
      <c r="C20" s="44"/>
      <c r="D20" s="44"/>
      <c r="E20" s="44"/>
      <c r="F20" s="44"/>
      <c r="G20" s="44"/>
      <c r="H20" s="44"/>
    </row>
    <row r="21" spans="2:8" ht="15" hidden="1" customHeight="1" x14ac:dyDescent="0.2">
      <c r="B21" s="44"/>
      <c r="C21" s="44"/>
      <c r="D21" s="44"/>
      <c r="E21" s="44"/>
      <c r="F21" s="44"/>
      <c r="G21" s="44"/>
      <c r="H21" s="44"/>
    </row>
    <row r="22" spans="2:8" ht="15" hidden="1" customHeight="1" x14ac:dyDescent="0.2">
      <c r="B22" s="43"/>
      <c r="C22" s="43"/>
      <c r="D22" s="43"/>
      <c r="E22" s="43"/>
      <c r="F22" s="43"/>
      <c r="G22" s="43"/>
      <c r="H22" s="43"/>
    </row>
    <row r="23" spans="2:8" ht="15" hidden="1" customHeight="1" x14ac:dyDescent="0.2">
      <c r="B23" s="43"/>
      <c r="C23" s="43"/>
      <c r="D23" s="43"/>
      <c r="E23" s="43"/>
      <c r="F23" s="43"/>
      <c r="G23" s="43"/>
      <c r="H23" s="43"/>
    </row>
    <row r="24" spans="2:8" ht="15" hidden="1" customHeight="1" x14ac:dyDescent="0.2">
      <c r="B24" s="43"/>
      <c r="C24" s="43"/>
      <c r="D24" s="43"/>
      <c r="E24" s="43"/>
      <c r="F24" s="43"/>
      <c r="G24" s="43"/>
      <c r="H24" s="43"/>
    </row>
    <row r="25" spans="2:8" ht="15" hidden="1" customHeight="1" x14ac:dyDescent="0.2">
      <c r="B25" s="43"/>
      <c r="C25" s="43"/>
      <c r="D25" s="43"/>
      <c r="E25" s="43"/>
      <c r="F25" s="43"/>
      <c r="G25" s="43"/>
      <c r="H25" s="43"/>
    </row>
    <row r="26" spans="2:8" ht="15" hidden="1" customHeight="1" x14ac:dyDescent="0.2">
      <c r="B26" s="43"/>
      <c r="C26" s="43"/>
      <c r="D26" s="43"/>
      <c r="E26" s="43"/>
      <c r="F26" s="43"/>
      <c r="G26" s="43"/>
      <c r="H26" s="43"/>
    </row>
    <row r="27" spans="2:8" ht="15" hidden="1" customHeight="1" x14ac:dyDescent="0.2">
      <c r="B27" s="43"/>
      <c r="C27" s="43"/>
      <c r="D27" s="43"/>
      <c r="E27" s="43"/>
      <c r="F27" s="43"/>
      <c r="G27" s="43"/>
      <c r="H27" s="43"/>
    </row>
    <row r="28" spans="2:8" ht="15" hidden="1" customHeight="1" x14ac:dyDescent="0.2">
      <c r="B28" s="43"/>
      <c r="C28" s="43"/>
      <c r="D28" s="43"/>
      <c r="E28" s="43"/>
      <c r="F28" s="43"/>
      <c r="G28" s="43"/>
      <c r="H28" s="43"/>
    </row>
    <row r="29" spans="2:8" ht="15" hidden="1" customHeight="1" x14ac:dyDescent="0.2"/>
    <row r="30" spans="2:8" ht="15" hidden="1" customHeight="1" x14ac:dyDescent="0.2"/>
    <row r="31" spans="2:8" ht="15" hidden="1" customHeight="1" x14ac:dyDescent="0.2"/>
    <row r="32" spans="2:8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</sheetData>
  <sheetProtection password="CC39" sheet="1" objects="1" scenarios="1" selectLockedCells="1"/>
  <mergeCells count="1">
    <mergeCell ref="B4:H4"/>
  </mergeCells>
  <dataValidations count="3">
    <dataValidation type="decimal" allowBlank="1" showInputMessage="1" showErrorMessage="1" sqref="B6">
      <formula1>0.000001</formula1>
      <formula2>999999.999</formula2>
    </dataValidation>
    <dataValidation type="whole" allowBlank="1" showInputMessage="1" showErrorMessage="1" sqref="D6">
      <formula1>1</formula1>
      <formula2>999999999</formula2>
    </dataValidation>
    <dataValidation type="decimal" allowBlank="1" showInputMessage="1" showErrorMessage="1" sqref="E6 C6">
      <formula1>1</formula1>
      <formula2>999999</formula2>
    </dataValidation>
  </dataValidations>
  <pageMargins left="0.7" right="0.7" top="0.75" bottom="0.75" header="0.3" footer="0.3"/>
  <pageSetup orientation="portrait" r:id="rId1"/>
  <drawing r:id="rId2"/>
  <legacyDrawing r:id="rId3"/>
  <oleObjects>
    <mc:AlternateContent xmlns:mc="http://schemas.openxmlformats.org/markup-compatibility/2006">
      <mc:Choice Requires="x14">
        <oleObject progId="Acrobat Document" dvAspect="DVASPECT_ICON" shapeId="2049" r:id="rId4">
          <objectPr locked="0" defaultSize="0" autoPict="0" r:id="rId5">
            <anchor moveWithCells="1">
              <from>
                <xdr:col>5</xdr:col>
                <xdr:colOff>952500</xdr:colOff>
                <xdr:row>0</xdr:row>
                <xdr:rowOff>219075</xdr:rowOff>
              </from>
              <to>
                <xdr:col>6</xdr:col>
                <xdr:colOff>285750</xdr:colOff>
                <xdr:row>2</xdr:row>
                <xdr:rowOff>19050</xdr:rowOff>
              </to>
            </anchor>
          </objectPr>
        </oleObject>
      </mc:Choice>
      <mc:Fallback>
        <oleObject progId="Acrobat Document" dvAspect="DVASPECT_ICON" shapeId="2049" r:id="rId4"/>
      </mc:Fallback>
    </mc:AlternateContent>
  </oleObjects>
  <tableParts count="1">
    <tablePart r:id="rId6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AQ69"/>
  <sheetViews>
    <sheetView workbookViewId="0">
      <selection activeCell="F7" sqref="F7:P7"/>
    </sheetView>
  </sheetViews>
  <sheetFormatPr defaultColWidth="0" defaultRowHeight="12.75" zeroHeight="1" x14ac:dyDescent="0.2"/>
  <cols>
    <col min="1" max="1" width="2.7109375" customWidth="1"/>
    <col min="2" max="31" width="3.7109375" customWidth="1"/>
    <col min="32" max="38" width="3.7109375" hidden="1"/>
    <col min="39" max="39" width="9.140625" hidden="1"/>
    <col min="40" max="40" width="35.7109375" hidden="1"/>
    <col min="41" max="41" width="5" hidden="1"/>
    <col min="42" max="42" width="27.42578125" hidden="1"/>
    <col min="44" max="16384" width="9.140625" hidden="1"/>
  </cols>
  <sheetData>
    <row r="1" spans="1:43" ht="22.5" customHeight="1" x14ac:dyDescent="0.2">
      <c r="A1" s="48"/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48"/>
      <c r="AF1" s="49"/>
      <c r="AG1" s="49"/>
      <c r="AH1" s="49"/>
      <c r="AI1" s="49"/>
      <c r="AJ1" s="49"/>
      <c r="AK1" s="49"/>
      <c r="AL1" s="49"/>
      <c r="AM1" s="49" t="s">
        <v>164</v>
      </c>
      <c r="AN1" s="49" t="s">
        <v>165</v>
      </c>
      <c r="AO1" s="49">
        <v>0.65</v>
      </c>
      <c r="AP1" s="50" t="s">
        <v>166</v>
      </c>
      <c r="AQ1" s="50">
        <v>1</v>
      </c>
    </row>
    <row r="2" spans="1:43" ht="27.75" customHeight="1" x14ac:dyDescent="0.2">
      <c r="A2" s="48"/>
      <c r="B2" s="153" t="s">
        <v>237</v>
      </c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153"/>
      <c r="P2" s="153"/>
      <c r="Q2" s="153"/>
      <c r="R2" s="153"/>
      <c r="S2" s="153"/>
      <c r="T2" s="153"/>
      <c r="U2" s="153"/>
      <c r="V2" s="153"/>
      <c r="W2" s="153"/>
      <c r="X2" s="153"/>
      <c r="Y2" s="153"/>
      <c r="Z2" s="153"/>
      <c r="AA2" s="153"/>
      <c r="AB2" s="153"/>
      <c r="AC2" s="153"/>
      <c r="AD2" s="153"/>
      <c r="AE2" s="48"/>
      <c r="AF2" s="49"/>
      <c r="AG2" s="49"/>
      <c r="AH2" s="49"/>
      <c r="AI2" s="49"/>
      <c r="AJ2" s="49"/>
      <c r="AK2" s="49"/>
      <c r="AL2" s="49"/>
      <c r="AM2" s="49" t="s">
        <v>167</v>
      </c>
      <c r="AN2" s="49" t="s">
        <v>168</v>
      </c>
      <c r="AO2" s="49">
        <v>0.85</v>
      </c>
      <c r="AP2" s="50" t="s">
        <v>169</v>
      </c>
      <c r="AQ2" s="50">
        <v>0.9</v>
      </c>
    </row>
    <row r="3" spans="1:43" x14ac:dyDescent="0.2">
      <c r="A3" s="48"/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 t="s">
        <v>238</v>
      </c>
      <c r="V3" s="51"/>
      <c r="W3" s="51"/>
      <c r="X3" s="51"/>
      <c r="Y3" s="51"/>
      <c r="Z3" s="51"/>
      <c r="AA3" s="51"/>
      <c r="AB3" s="51"/>
      <c r="AC3" s="51"/>
      <c r="AD3" s="51"/>
      <c r="AE3" s="48"/>
      <c r="AF3" s="49"/>
      <c r="AG3" s="49"/>
      <c r="AH3" s="49"/>
      <c r="AI3" s="49"/>
      <c r="AJ3" s="49"/>
      <c r="AK3" s="49"/>
      <c r="AL3" s="49"/>
      <c r="AM3" s="49"/>
      <c r="AN3" s="49" t="s">
        <v>170</v>
      </c>
      <c r="AO3" s="49">
        <v>0.7</v>
      </c>
      <c r="AP3" s="50" t="s">
        <v>171</v>
      </c>
      <c r="AQ3" s="50">
        <v>0.8</v>
      </c>
    </row>
    <row r="4" spans="1:43" ht="12.75" customHeight="1" x14ac:dyDescent="0.2">
      <c r="A4" s="48"/>
      <c r="B4" s="166" t="s">
        <v>240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48"/>
      <c r="AF4" s="49"/>
      <c r="AG4" s="49"/>
      <c r="AH4" s="49"/>
      <c r="AI4" s="49"/>
      <c r="AJ4" s="49"/>
      <c r="AK4" s="49"/>
      <c r="AL4" s="49"/>
      <c r="AM4" s="49"/>
      <c r="AN4" s="49" t="s">
        <v>172</v>
      </c>
      <c r="AO4" s="49">
        <v>0.65</v>
      </c>
      <c r="AP4" s="50" t="s">
        <v>173</v>
      </c>
      <c r="AQ4" s="50">
        <v>0.7</v>
      </c>
    </row>
    <row r="5" spans="1:43" x14ac:dyDescent="0.2">
      <c r="A5" s="48"/>
      <c r="B5" s="166"/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48"/>
      <c r="AF5" s="49"/>
      <c r="AG5" s="49"/>
      <c r="AH5" s="49"/>
      <c r="AI5" s="49"/>
      <c r="AJ5" s="49"/>
      <c r="AK5" s="49"/>
      <c r="AL5" s="49"/>
      <c r="AM5" s="49"/>
      <c r="AN5" s="49" t="s">
        <v>174</v>
      </c>
      <c r="AO5" s="49">
        <v>0.65</v>
      </c>
      <c r="AP5" s="50" t="s">
        <v>175</v>
      </c>
      <c r="AQ5" s="50">
        <v>0.65</v>
      </c>
    </row>
    <row r="6" spans="1:43" ht="15" x14ac:dyDescent="0.25">
      <c r="A6" s="48"/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6"/>
      <c r="Y6" s="76"/>
      <c r="Z6" s="76"/>
      <c r="AA6" s="76"/>
      <c r="AB6" s="76"/>
      <c r="AC6" s="76"/>
      <c r="AD6" s="76"/>
      <c r="AE6" s="48"/>
      <c r="AF6" s="49"/>
      <c r="AG6" s="49"/>
      <c r="AH6" s="49"/>
      <c r="AI6" s="49"/>
      <c r="AJ6" s="49"/>
      <c r="AK6" s="49"/>
      <c r="AL6" s="49"/>
      <c r="AM6" s="49"/>
      <c r="AN6" s="49" t="s">
        <v>176</v>
      </c>
      <c r="AO6" s="49">
        <v>1</v>
      </c>
      <c r="AP6" s="50" t="s">
        <v>177</v>
      </c>
      <c r="AQ6" s="50">
        <v>0.5</v>
      </c>
    </row>
    <row r="7" spans="1:43" ht="15" x14ac:dyDescent="0.25">
      <c r="A7" s="48"/>
      <c r="B7" s="106" t="s">
        <v>178</v>
      </c>
      <c r="C7" s="106"/>
      <c r="D7" s="106"/>
      <c r="E7" s="106"/>
      <c r="F7" s="138"/>
      <c r="G7" s="139"/>
      <c r="H7" s="139"/>
      <c r="I7" s="139"/>
      <c r="J7" s="139"/>
      <c r="K7" s="139"/>
      <c r="L7" s="139"/>
      <c r="M7" s="139"/>
      <c r="N7" s="139"/>
      <c r="O7" s="139"/>
      <c r="P7" s="140"/>
      <c r="Q7" s="66"/>
      <c r="R7" s="106" t="s">
        <v>179</v>
      </c>
      <c r="S7" s="106"/>
      <c r="T7" s="106"/>
      <c r="U7" s="138"/>
      <c r="V7" s="139"/>
      <c r="W7" s="139"/>
      <c r="X7" s="139"/>
      <c r="Y7" s="139"/>
      <c r="Z7" s="139"/>
      <c r="AA7" s="139"/>
      <c r="AB7" s="140"/>
      <c r="AC7" s="107"/>
      <c r="AD7" s="76"/>
      <c r="AE7" s="48"/>
      <c r="AF7" s="49"/>
      <c r="AG7" s="49"/>
      <c r="AH7" s="49"/>
      <c r="AI7" s="49"/>
      <c r="AJ7" s="49"/>
      <c r="AK7" s="49"/>
      <c r="AL7" s="49"/>
      <c r="AM7" s="49"/>
      <c r="AN7" s="49" t="s">
        <v>180</v>
      </c>
      <c r="AO7" s="49">
        <v>1</v>
      </c>
      <c r="AP7" s="50" t="s">
        <v>181</v>
      </c>
      <c r="AQ7" s="50">
        <v>0.75</v>
      </c>
    </row>
    <row r="8" spans="1:43" ht="15" x14ac:dyDescent="0.25">
      <c r="A8" s="48"/>
      <c r="B8" s="76"/>
      <c r="C8" s="76"/>
      <c r="D8" s="76"/>
      <c r="E8" s="76"/>
      <c r="F8" s="76"/>
      <c r="G8" s="52" t="s">
        <v>182</v>
      </c>
      <c r="H8" s="52"/>
      <c r="I8" s="52"/>
      <c r="J8" s="52"/>
      <c r="K8" s="52"/>
      <c r="L8" s="52"/>
      <c r="M8" s="52"/>
      <c r="N8" s="52"/>
      <c r="O8" s="76"/>
      <c r="P8" s="76"/>
      <c r="Q8" s="76"/>
      <c r="R8" s="76"/>
      <c r="S8" s="76"/>
      <c r="T8" s="76"/>
      <c r="U8" s="52" t="s">
        <v>182</v>
      </c>
      <c r="V8" s="52"/>
      <c r="W8" s="52"/>
      <c r="X8" s="52"/>
      <c r="Y8" s="52"/>
      <c r="Z8" s="52"/>
      <c r="AA8" s="52"/>
      <c r="AB8" s="52"/>
      <c r="AC8" s="76"/>
      <c r="AD8" s="76"/>
      <c r="AE8" s="48"/>
      <c r="AF8" s="49"/>
      <c r="AG8" s="49"/>
      <c r="AH8" s="49"/>
      <c r="AI8" s="49"/>
      <c r="AJ8" s="49"/>
      <c r="AK8" s="49"/>
      <c r="AL8" s="49"/>
      <c r="AM8" s="49"/>
      <c r="AN8" s="49" t="s">
        <v>183</v>
      </c>
      <c r="AO8" s="49">
        <v>1</v>
      </c>
      <c r="AP8" s="50" t="s">
        <v>184</v>
      </c>
      <c r="AQ8" s="50">
        <v>0.65</v>
      </c>
    </row>
    <row r="9" spans="1:43" ht="15" x14ac:dyDescent="0.25">
      <c r="A9" s="48"/>
      <c r="B9" s="106" t="s">
        <v>185</v>
      </c>
      <c r="C9" s="106"/>
      <c r="D9" s="106"/>
      <c r="E9" s="106"/>
      <c r="F9" s="106"/>
      <c r="G9" s="138"/>
      <c r="H9" s="139"/>
      <c r="I9" s="139"/>
      <c r="J9" s="139"/>
      <c r="K9" s="139"/>
      <c r="L9" s="139"/>
      <c r="M9" s="139"/>
      <c r="N9" s="140"/>
      <c r="O9" s="107" t="s">
        <v>186</v>
      </c>
      <c r="P9" s="108"/>
      <c r="Q9" s="108"/>
      <c r="R9" s="108"/>
      <c r="S9" s="108"/>
      <c r="T9" s="109"/>
      <c r="U9" s="138"/>
      <c r="V9" s="139"/>
      <c r="W9" s="139"/>
      <c r="X9" s="139"/>
      <c r="Y9" s="139"/>
      <c r="Z9" s="139"/>
      <c r="AA9" s="139"/>
      <c r="AB9" s="140"/>
      <c r="AC9" s="107"/>
      <c r="AD9" s="76"/>
      <c r="AE9" s="48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50" t="s">
        <v>187</v>
      </c>
      <c r="AQ9" s="50">
        <v>0.55000000000000004</v>
      </c>
    </row>
    <row r="10" spans="1:43" ht="15" x14ac:dyDescent="0.25">
      <c r="A10" s="48"/>
      <c r="B10" s="76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48"/>
      <c r="AF10" s="49"/>
      <c r="AG10" s="49"/>
      <c r="AH10" s="49"/>
      <c r="AI10" s="49"/>
      <c r="AJ10" s="49"/>
      <c r="AK10" s="49"/>
      <c r="AL10" s="49"/>
      <c r="AM10" s="49"/>
    </row>
    <row r="11" spans="1:43" ht="15" x14ac:dyDescent="0.25">
      <c r="A11" s="48"/>
      <c r="B11" s="66" t="s">
        <v>188</v>
      </c>
      <c r="C11" s="66"/>
      <c r="D11" s="66"/>
      <c r="E11" s="66"/>
      <c r="F11" s="141"/>
      <c r="G11" s="142"/>
      <c r="H11" s="143"/>
      <c r="I11" s="76" t="s">
        <v>189</v>
      </c>
      <c r="J11" s="76"/>
      <c r="K11" s="76"/>
      <c r="L11" s="76"/>
      <c r="M11" s="76"/>
      <c r="N11" s="76"/>
      <c r="O11" s="76"/>
      <c r="P11" s="76"/>
      <c r="Q11" s="76"/>
      <c r="R11" s="106" t="s">
        <v>190</v>
      </c>
      <c r="S11" s="106"/>
      <c r="T11" s="106"/>
      <c r="U11" s="106"/>
      <c r="V11" s="106"/>
      <c r="W11" s="106"/>
      <c r="X11" s="106"/>
      <c r="Y11" s="106"/>
      <c r="Z11" s="141"/>
      <c r="AA11" s="142"/>
      <c r="AB11" s="143"/>
      <c r="AC11" s="107" t="s">
        <v>189</v>
      </c>
      <c r="AD11" s="76"/>
      <c r="AE11" s="48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</row>
    <row r="12" spans="1:43" ht="15" x14ac:dyDescent="0.25">
      <c r="A12" s="48"/>
      <c r="B12" s="76"/>
      <c r="C12" s="76"/>
      <c r="D12" s="76"/>
      <c r="E12" s="76"/>
      <c r="F12" s="76"/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48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</row>
    <row r="13" spans="1:43" ht="15" x14ac:dyDescent="0.25">
      <c r="A13" s="48"/>
      <c r="B13" s="106" t="s">
        <v>191</v>
      </c>
      <c r="C13" s="106"/>
      <c r="D13" s="106"/>
      <c r="E13" s="106"/>
      <c r="F13" s="106"/>
      <c r="G13" s="106"/>
      <c r="H13" s="106"/>
      <c r="I13" s="106"/>
      <c r="J13" s="106"/>
      <c r="K13" s="106"/>
      <c r="L13" s="141"/>
      <c r="M13" s="142"/>
      <c r="N13" s="142"/>
      <c r="O13" s="142"/>
      <c r="P13" s="142"/>
      <c r="Q13" s="142"/>
      <c r="R13" s="142"/>
      <c r="S13" s="142"/>
      <c r="T13" s="142"/>
      <c r="U13" s="142"/>
      <c r="V13" s="143"/>
      <c r="W13" s="66"/>
      <c r="X13" s="106" t="s">
        <v>192</v>
      </c>
      <c r="Y13" s="106"/>
      <c r="Z13" s="106"/>
      <c r="AA13" s="106"/>
      <c r="AB13" s="110"/>
      <c r="AC13" s="164" t="str">
        <f>IF(L13&lt;&gt;"",IF(VLOOKUP(L13,$AN$1:$AO$8,2,FALSE)="","",VLOOKUP(L13,$AN$1:$AO$8,2,FALSE)),"")</f>
        <v/>
      </c>
      <c r="AD13" s="165"/>
      <c r="AE13" s="48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</row>
    <row r="14" spans="1:43" ht="15" x14ac:dyDescent="0.25">
      <c r="A14" s="48"/>
      <c r="B14" s="76"/>
      <c r="C14" s="76"/>
      <c r="D14" s="76"/>
      <c r="E14" s="76"/>
      <c r="F14" s="76"/>
      <c r="G14" s="76"/>
      <c r="H14" s="76"/>
      <c r="I14" s="76"/>
      <c r="J14" s="76"/>
      <c r="K14" s="76"/>
      <c r="L14" s="76"/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48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</row>
    <row r="15" spans="1:43" ht="15" x14ac:dyDescent="0.25">
      <c r="A15" s="48"/>
      <c r="B15" s="106" t="s">
        <v>193</v>
      </c>
      <c r="C15" s="106"/>
      <c r="D15" s="106"/>
      <c r="E15" s="106"/>
      <c r="F15" s="106"/>
      <c r="G15" s="106"/>
      <c r="H15" s="106"/>
      <c r="I15" s="106"/>
      <c r="J15" s="106"/>
      <c r="K15" s="111"/>
      <c r="L15" s="141"/>
      <c r="M15" s="142"/>
      <c r="N15" s="142"/>
      <c r="O15" s="142"/>
      <c r="P15" s="142"/>
      <c r="Q15" s="142"/>
      <c r="R15" s="142"/>
      <c r="S15" s="142"/>
      <c r="T15" s="142"/>
      <c r="U15" s="142"/>
      <c r="V15" s="143"/>
      <c r="W15" s="66"/>
      <c r="X15" s="106" t="s">
        <v>194</v>
      </c>
      <c r="Y15" s="106"/>
      <c r="Z15" s="106"/>
      <c r="AA15" s="106"/>
      <c r="AB15" s="106"/>
      <c r="AC15" s="164" t="str">
        <f>IF(L15&lt;&gt;"",IF(VLOOKUP(L15,$AP$1:$AQ$9,2,FALSE)="","",VLOOKUP(L15,$AP$1:$AQ$9,2,FALSE)),"")</f>
        <v/>
      </c>
      <c r="AD15" s="165"/>
      <c r="AE15" s="48"/>
      <c r="AF15" s="49"/>
      <c r="AG15" s="49"/>
      <c r="AH15" s="49"/>
      <c r="AI15" s="49"/>
      <c r="AJ15" s="49"/>
      <c r="AK15" s="49"/>
      <c r="AL15" s="49"/>
      <c r="AM15" s="49"/>
      <c r="AN15" s="49"/>
      <c r="AO15" s="49"/>
      <c r="AP15" s="49"/>
      <c r="AQ15" s="49"/>
    </row>
    <row r="16" spans="1:43" ht="15" x14ac:dyDescent="0.25">
      <c r="A16" s="48"/>
      <c r="B16" s="76"/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48"/>
      <c r="AF16" s="49"/>
      <c r="AG16" s="49"/>
      <c r="AH16" s="49"/>
      <c r="AI16" s="49"/>
      <c r="AJ16" s="49"/>
      <c r="AK16" s="49"/>
      <c r="AL16" s="49"/>
      <c r="AM16" s="49"/>
      <c r="AN16" s="49"/>
      <c r="AO16" s="49"/>
      <c r="AP16" s="49"/>
      <c r="AQ16" s="49"/>
    </row>
    <row r="17" spans="1:43" ht="15" x14ac:dyDescent="0.25">
      <c r="A17" s="48"/>
      <c r="B17" s="106" t="s">
        <v>195</v>
      </c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44"/>
      <c r="N17" s="145"/>
      <c r="O17" s="145"/>
      <c r="P17" s="146"/>
      <c r="Q17" s="107"/>
      <c r="R17" s="76"/>
      <c r="S17" s="76"/>
      <c r="T17" s="76"/>
      <c r="U17" s="76"/>
      <c r="V17" s="76"/>
      <c r="W17" s="76"/>
      <c r="X17" s="76"/>
      <c r="Y17" s="76"/>
      <c r="Z17" s="76"/>
      <c r="AA17" s="76"/>
      <c r="AB17" s="76"/>
      <c r="AC17" s="76"/>
      <c r="AD17" s="76"/>
      <c r="AE17" s="48"/>
      <c r="AF17" s="49"/>
      <c r="AG17" s="49"/>
      <c r="AH17" s="49"/>
      <c r="AI17" s="49"/>
      <c r="AJ17" s="49"/>
      <c r="AK17" s="49"/>
      <c r="AL17" s="49"/>
      <c r="AM17" s="49"/>
      <c r="AN17" s="49"/>
      <c r="AO17" s="49"/>
      <c r="AP17" s="49"/>
      <c r="AQ17" s="49"/>
    </row>
    <row r="18" spans="1:43" ht="15" x14ac:dyDescent="0.25">
      <c r="A18" s="48"/>
      <c r="B18" s="76"/>
      <c r="C18" s="76"/>
      <c r="D18" s="76"/>
      <c r="E18" s="76"/>
      <c r="F18" s="76"/>
      <c r="G18" s="76"/>
      <c r="H18" s="76"/>
      <c r="I18" s="76"/>
      <c r="J18" s="76"/>
      <c r="K18" s="76"/>
      <c r="L18" s="76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/>
      <c r="Y18" s="76"/>
      <c r="Z18" s="76"/>
      <c r="AA18" s="76"/>
      <c r="AB18" s="76"/>
      <c r="AC18" s="76"/>
      <c r="AD18" s="76"/>
      <c r="AE18" s="48"/>
      <c r="AF18" s="49"/>
      <c r="AG18" s="49"/>
      <c r="AH18" s="49"/>
      <c r="AI18" s="49"/>
      <c r="AJ18" s="49"/>
      <c r="AK18" s="49"/>
      <c r="AL18" s="49"/>
      <c r="AM18" s="49"/>
      <c r="AN18" s="49"/>
      <c r="AO18" s="49"/>
      <c r="AP18" s="49"/>
      <c r="AQ18" s="49"/>
    </row>
    <row r="19" spans="1:43" ht="15" x14ac:dyDescent="0.25">
      <c r="A19" s="48"/>
      <c r="B19" s="106" t="s">
        <v>196</v>
      </c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11"/>
      <c r="S19" s="147"/>
      <c r="T19" s="148"/>
      <c r="U19" s="148"/>
      <c r="V19" s="149"/>
      <c r="W19" s="107" t="s">
        <v>197</v>
      </c>
      <c r="X19" s="108"/>
      <c r="Y19" s="108"/>
      <c r="Z19" s="76"/>
      <c r="AA19" s="76"/>
      <c r="AB19" s="76"/>
      <c r="AC19" s="76"/>
      <c r="AD19" s="76"/>
      <c r="AE19" s="48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</row>
    <row r="20" spans="1:43" ht="15" x14ac:dyDescent="0.25">
      <c r="A20" s="48"/>
      <c r="B20" s="76"/>
      <c r="C20" s="76"/>
      <c r="D20" s="76"/>
      <c r="E20" s="76"/>
      <c r="F20" s="76"/>
      <c r="G20" s="76"/>
      <c r="H20" s="76"/>
      <c r="I20" s="76"/>
      <c r="J20" s="76"/>
      <c r="K20" s="76"/>
      <c r="L20" s="76"/>
      <c r="M20" s="76"/>
      <c r="N20" s="76"/>
      <c r="O20" s="76"/>
      <c r="P20" s="76"/>
      <c r="Q20" s="76"/>
      <c r="R20" s="76"/>
      <c r="S20" s="76"/>
      <c r="T20" s="76"/>
      <c r="U20" s="76"/>
      <c r="V20" s="76"/>
      <c r="W20" s="76"/>
      <c r="X20" s="76"/>
      <c r="Y20" s="76"/>
      <c r="Z20" s="76"/>
      <c r="AA20" s="76"/>
      <c r="AB20" s="76"/>
      <c r="AC20" s="76"/>
      <c r="AD20" s="76"/>
      <c r="AE20" s="48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</row>
    <row r="21" spans="1:43" ht="15" x14ac:dyDescent="0.25">
      <c r="A21" s="48"/>
      <c r="B21" s="106" t="s">
        <v>198</v>
      </c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67" t="str">
        <f>IF(Population&lt;&gt;"",Population*0.17,"")</f>
        <v/>
      </c>
      <c r="T21" s="68"/>
      <c r="U21" s="68"/>
      <c r="V21" s="69"/>
      <c r="W21" s="76" t="s">
        <v>197</v>
      </c>
      <c r="X21" s="76"/>
      <c r="Y21" s="76"/>
      <c r="Z21" s="53" t="s">
        <v>199</v>
      </c>
      <c r="AA21" s="53"/>
      <c r="AB21" s="53"/>
      <c r="AC21" s="53"/>
      <c r="AD21" s="53"/>
      <c r="AE21" s="48"/>
      <c r="AF21" s="49"/>
      <c r="AG21" s="49"/>
      <c r="AH21" s="49"/>
      <c r="AI21" s="49"/>
      <c r="AJ21" s="49"/>
      <c r="AK21" s="49"/>
      <c r="AL21" s="49"/>
      <c r="AM21" s="49"/>
      <c r="AN21" s="49"/>
      <c r="AO21" s="49"/>
      <c r="AP21" s="49"/>
      <c r="AQ21" s="49"/>
    </row>
    <row r="22" spans="1:43" ht="15" x14ac:dyDescent="0.25">
      <c r="A22" s="48"/>
      <c r="B22" s="112"/>
      <c r="C22" s="112"/>
      <c r="D22" s="112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  <c r="P22" s="112"/>
      <c r="Q22" s="112"/>
      <c r="R22" s="112"/>
      <c r="S22" s="112"/>
      <c r="T22" s="112"/>
      <c r="U22" s="112"/>
      <c r="V22" s="112"/>
      <c r="W22" s="112"/>
      <c r="X22" s="112"/>
      <c r="Y22" s="112"/>
      <c r="Z22" s="112"/>
      <c r="AA22" s="112"/>
      <c r="AB22" s="112"/>
      <c r="AC22" s="112"/>
      <c r="AD22" s="112"/>
      <c r="AE22" s="48"/>
      <c r="AF22" s="49"/>
      <c r="AG22" s="49"/>
      <c r="AH22" s="49"/>
      <c r="AI22" s="49"/>
      <c r="AJ22" s="49"/>
      <c r="AK22" s="49"/>
      <c r="AL22" s="49"/>
      <c r="AM22" s="49"/>
      <c r="AN22" s="49"/>
      <c r="AO22" s="49"/>
      <c r="AP22" s="49"/>
      <c r="AQ22" s="49"/>
    </row>
    <row r="23" spans="1:43" x14ac:dyDescent="0.2">
      <c r="A23" s="48"/>
      <c r="B23" s="113" t="s">
        <v>200</v>
      </c>
      <c r="C23" s="113"/>
      <c r="D23" s="113"/>
      <c r="E23" s="113"/>
      <c r="F23" s="113"/>
      <c r="G23" s="113"/>
      <c r="H23" s="113"/>
      <c r="I23" s="113"/>
      <c r="J23" s="113"/>
      <c r="K23" s="113"/>
      <c r="L23" s="113"/>
      <c r="M23" s="113"/>
      <c r="N23" s="113"/>
      <c r="O23" s="113"/>
      <c r="P23" s="113"/>
      <c r="Q23" s="113"/>
      <c r="R23" s="114"/>
      <c r="S23" s="54" t="str">
        <f>IF(AND(Influent_Load&lt;&gt;"",Influent_Load_Expected&lt;&gt;""),Influent_Load/Influent_Load_Expected,"")</f>
        <v/>
      </c>
      <c r="T23" s="55"/>
      <c r="U23" s="55"/>
      <c r="V23" s="56"/>
      <c r="W23" s="57" t="s">
        <v>201</v>
      </c>
      <c r="X23" s="57"/>
      <c r="Y23" s="57"/>
      <c r="Z23" s="57"/>
      <c r="AA23" s="57"/>
      <c r="AB23" s="57"/>
      <c r="AC23" s="57"/>
      <c r="AD23" s="57"/>
      <c r="AE23" s="48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</row>
    <row r="24" spans="1:43" x14ac:dyDescent="0.2">
      <c r="A24" s="48"/>
      <c r="B24" s="113"/>
      <c r="C24" s="113"/>
      <c r="D24" s="113"/>
      <c r="E24" s="113"/>
      <c r="F24" s="113"/>
      <c r="G24" s="113"/>
      <c r="H24" s="113"/>
      <c r="I24" s="113"/>
      <c r="J24" s="113"/>
      <c r="K24" s="113"/>
      <c r="L24" s="113"/>
      <c r="M24" s="113"/>
      <c r="N24" s="113"/>
      <c r="O24" s="113"/>
      <c r="P24" s="113"/>
      <c r="Q24" s="113"/>
      <c r="R24" s="114"/>
      <c r="S24" s="58"/>
      <c r="T24" s="59"/>
      <c r="U24" s="59"/>
      <c r="V24" s="60"/>
      <c r="W24" s="57"/>
      <c r="X24" s="57"/>
      <c r="Y24" s="57"/>
      <c r="Z24" s="57"/>
      <c r="AA24" s="57"/>
      <c r="AB24" s="57"/>
      <c r="AC24" s="57"/>
      <c r="AD24" s="57"/>
      <c r="AE24" s="48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</row>
    <row r="25" spans="1:43" ht="15" x14ac:dyDescent="0.25">
      <c r="A25" s="48"/>
      <c r="B25" s="76"/>
      <c r="C25" s="76"/>
      <c r="D25" s="76"/>
      <c r="E25" s="76"/>
      <c r="F25" s="76"/>
      <c r="G25" s="76"/>
      <c r="H25" s="76"/>
      <c r="I25" s="76"/>
      <c r="J25" s="76"/>
      <c r="K25" s="76"/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/>
      <c r="Y25" s="76"/>
      <c r="Z25" s="76"/>
      <c r="AA25" s="76"/>
      <c r="AB25" s="76"/>
      <c r="AC25" s="76"/>
      <c r="AD25" s="76"/>
      <c r="AE25" s="48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</row>
    <row r="26" spans="1:43" ht="15" x14ac:dyDescent="0.25">
      <c r="A26" s="48"/>
      <c r="B26" s="106" t="s">
        <v>202</v>
      </c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41"/>
      <c r="N26" s="142"/>
      <c r="O26" s="143"/>
      <c r="P26" s="66" t="s">
        <v>203</v>
      </c>
      <c r="Q26" s="141"/>
      <c r="R26" s="142"/>
      <c r="S26" s="143"/>
      <c r="T26" s="107" t="s">
        <v>204</v>
      </c>
      <c r="U26" s="76"/>
      <c r="V26" s="115" t="str">
        <f>IF(M26&lt;&gt;"",IF(M26="CBOD5",IF(Q26&lt;&gt;"",CONCATENATE("Assume ",Q26*1.2," mg/L BOD5"),""),""),"")</f>
        <v/>
      </c>
      <c r="W26" s="115"/>
      <c r="X26" s="115"/>
      <c r="Y26" s="115"/>
      <c r="Z26" s="115"/>
      <c r="AA26" s="115"/>
      <c r="AB26" s="115"/>
      <c r="AC26" s="115"/>
      <c r="AD26" s="115"/>
      <c r="AE26" s="48"/>
      <c r="AF26" s="49"/>
      <c r="AG26" s="49"/>
      <c r="AH26" s="49"/>
      <c r="AI26" s="49"/>
      <c r="AJ26" s="49"/>
      <c r="AK26" s="49"/>
      <c r="AL26" s="49"/>
      <c r="AM26" s="49"/>
      <c r="AN26" s="49"/>
      <c r="AO26" s="49"/>
      <c r="AP26" s="49"/>
      <c r="AQ26" s="49"/>
    </row>
    <row r="27" spans="1:43" ht="15" x14ac:dyDescent="0.25">
      <c r="A27" s="48"/>
      <c r="B27" s="76"/>
      <c r="C27" s="76"/>
      <c r="D27" s="76"/>
      <c r="E27" s="76"/>
      <c r="F27" s="76"/>
      <c r="G27" s="76"/>
      <c r="H27" s="76"/>
      <c r="I27" s="76"/>
      <c r="J27" s="76"/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76"/>
      <c r="Z27" s="76"/>
      <c r="AA27" s="76"/>
      <c r="AB27" s="76"/>
      <c r="AC27" s="76"/>
      <c r="AD27" s="76"/>
      <c r="AE27" s="48"/>
      <c r="AF27" s="49"/>
      <c r="AG27" s="49"/>
      <c r="AH27" s="49"/>
      <c r="AI27" s="49"/>
      <c r="AJ27" s="49"/>
      <c r="AK27" s="49"/>
      <c r="AL27" s="49"/>
      <c r="AM27" s="49"/>
      <c r="AN27" s="49"/>
      <c r="AO27" s="49"/>
      <c r="AP27" s="49"/>
      <c r="AQ27" s="49"/>
    </row>
    <row r="28" spans="1:43" x14ac:dyDescent="0.2">
      <c r="A28" s="48"/>
      <c r="B28" s="116" t="s">
        <v>205</v>
      </c>
      <c r="C28" s="116"/>
      <c r="D28" s="116"/>
      <c r="E28" s="116"/>
      <c r="F28" s="116"/>
      <c r="G28" s="116"/>
      <c r="H28" s="116"/>
      <c r="I28" s="116"/>
      <c r="J28" s="116"/>
      <c r="K28" s="116"/>
      <c r="L28" s="116"/>
      <c r="M28" s="116"/>
      <c r="N28" s="116"/>
      <c r="O28" s="116"/>
      <c r="P28" s="116"/>
      <c r="Q28" s="117" t="str">
        <f>IF(AND(Actual_Flow&lt;&gt;"",BOD_Conc&lt;&gt;""),Actual_Flow*IF(M26="CBOD5",BOD_Conc*1.2,BOD_Conc)*8.34,"")</f>
        <v/>
      </c>
      <c r="R28" s="118"/>
      <c r="S28" s="119"/>
      <c r="T28" s="120" t="s">
        <v>197</v>
      </c>
      <c r="U28" s="121"/>
      <c r="V28" s="121"/>
      <c r="W28" s="62" t="s">
        <v>206</v>
      </c>
      <c r="X28" s="62"/>
      <c r="Y28" s="62"/>
      <c r="Z28" s="62"/>
      <c r="AA28" s="62"/>
      <c r="AB28" s="62"/>
      <c r="AC28" s="62"/>
      <c r="AD28" s="62"/>
      <c r="AE28" s="48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/>
    </row>
    <row r="29" spans="1:43" x14ac:dyDescent="0.2">
      <c r="A29" s="48"/>
      <c r="B29" s="116"/>
      <c r="C29" s="116"/>
      <c r="D29" s="116"/>
      <c r="E29" s="116"/>
      <c r="F29" s="116"/>
      <c r="G29" s="116"/>
      <c r="H29" s="116"/>
      <c r="I29" s="116"/>
      <c r="J29" s="116"/>
      <c r="K29" s="116"/>
      <c r="L29" s="116"/>
      <c r="M29" s="116"/>
      <c r="N29" s="116"/>
      <c r="O29" s="116"/>
      <c r="P29" s="116"/>
      <c r="Q29" s="122"/>
      <c r="R29" s="123"/>
      <c r="S29" s="124"/>
      <c r="T29" s="120"/>
      <c r="U29" s="121"/>
      <c r="V29" s="121"/>
      <c r="W29" s="62"/>
      <c r="X29" s="62"/>
      <c r="Y29" s="62"/>
      <c r="Z29" s="62"/>
      <c r="AA29" s="62"/>
      <c r="AB29" s="62"/>
      <c r="AC29" s="62"/>
      <c r="AD29" s="62"/>
      <c r="AE29" s="48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</row>
    <row r="30" spans="1:43" ht="15" x14ac:dyDescent="0.25">
      <c r="A30" s="48"/>
      <c r="B30" s="76"/>
      <c r="C30" s="76"/>
      <c r="D30" s="76"/>
      <c r="E30" s="76"/>
      <c r="F30" s="76"/>
      <c r="G30" s="76"/>
      <c r="H30" s="76"/>
      <c r="I30" s="76"/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76"/>
      <c r="Z30" s="76"/>
      <c r="AA30" s="76"/>
      <c r="AB30" s="76"/>
      <c r="AC30" s="76"/>
      <c r="AD30" s="76"/>
      <c r="AE30" s="48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</row>
    <row r="31" spans="1:43" x14ac:dyDescent="0.2">
      <c r="A31" s="48"/>
      <c r="B31" s="113" t="s">
        <v>207</v>
      </c>
      <c r="C31" s="113"/>
      <c r="D31" s="113"/>
      <c r="E31" s="113"/>
      <c r="F31" s="113"/>
      <c r="G31" s="113"/>
      <c r="H31" s="113"/>
      <c r="I31" s="113"/>
      <c r="J31" s="113"/>
      <c r="K31" s="113"/>
      <c r="L31" s="113"/>
      <c r="M31" s="113"/>
      <c r="N31" s="113"/>
      <c r="O31" s="113"/>
      <c r="P31" s="114"/>
      <c r="Q31" s="125" t="str">
        <f>IF(AND(Population&lt;&gt;"",Influent_Load&lt;&gt;""),Influent_Load/Population,"")</f>
        <v/>
      </c>
      <c r="R31" s="126"/>
      <c r="S31" s="127"/>
      <c r="T31" s="63" t="s">
        <v>208</v>
      </c>
      <c r="U31" s="63"/>
      <c r="V31" s="63"/>
      <c r="W31" s="63"/>
      <c r="X31" s="63"/>
      <c r="Y31" s="63"/>
      <c r="Z31" s="63"/>
      <c r="AA31" s="63"/>
      <c r="AB31" s="63"/>
      <c r="AC31" s="63"/>
      <c r="AD31" s="63"/>
      <c r="AE31" s="48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</row>
    <row r="32" spans="1:43" x14ac:dyDescent="0.2">
      <c r="A32" s="48"/>
      <c r="B32" s="113"/>
      <c r="C32" s="113"/>
      <c r="D32" s="113"/>
      <c r="E32" s="113"/>
      <c r="F32" s="113"/>
      <c r="G32" s="113"/>
      <c r="H32" s="113"/>
      <c r="I32" s="113"/>
      <c r="J32" s="113"/>
      <c r="K32" s="113"/>
      <c r="L32" s="113"/>
      <c r="M32" s="113"/>
      <c r="N32" s="113"/>
      <c r="O32" s="113"/>
      <c r="P32" s="114"/>
      <c r="Q32" s="128"/>
      <c r="R32" s="129"/>
      <c r="S32" s="130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48"/>
      <c r="AF32" s="49"/>
      <c r="AG32" s="49"/>
      <c r="AH32" s="49"/>
      <c r="AI32" s="49"/>
      <c r="AJ32" s="49"/>
      <c r="AK32" s="49"/>
      <c r="AL32" s="49"/>
      <c r="AM32" s="49"/>
      <c r="AN32" s="49"/>
      <c r="AO32" s="49"/>
      <c r="AP32" s="49"/>
      <c r="AQ32" s="49"/>
    </row>
    <row r="33" spans="1:43" ht="15" x14ac:dyDescent="0.25">
      <c r="A33" s="48"/>
      <c r="B33" s="76"/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6"/>
      <c r="Z33" s="76"/>
      <c r="AA33" s="76"/>
      <c r="AB33" s="76"/>
      <c r="AC33" s="76"/>
      <c r="AD33" s="76"/>
      <c r="AE33" s="48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</row>
    <row r="34" spans="1:43" x14ac:dyDescent="0.2">
      <c r="A34" s="48"/>
      <c r="B34" s="116" t="s">
        <v>209</v>
      </c>
      <c r="C34" s="116"/>
      <c r="D34" s="116"/>
      <c r="E34" s="116"/>
      <c r="F34" s="116"/>
      <c r="G34" s="116"/>
      <c r="H34" s="116"/>
      <c r="I34" s="116"/>
      <c r="J34" s="116"/>
      <c r="K34" s="116"/>
      <c r="L34" s="116"/>
      <c r="M34" s="116"/>
      <c r="N34" s="116"/>
      <c r="O34" s="116"/>
      <c r="P34" s="116"/>
      <c r="Q34" s="131" t="str">
        <f>IF(AND(Influent_Load&lt;&gt;"",BOD5_Discharged&lt;&gt;""),Influent_Load-BOD5_Discharged,"")</f>
        <v/>
      </c>
      <c r="R34" s="132"/>
      <c r="S34" s="133"/>
      <c r="T34" s="120" t="s">
        <v>197</v>
      </c>
      <c r="U34" s="121"/>
      <c r="V34" s="121"/>
      <c r="W34" s="62" t="s">
        <v>210</v>
      </c>
      <c r="X34" s="62"/>
      <c r="Y34" s="62"/>
      <c r="Z34" s="62"/>
      <c r="AA34" s="62"/>
      <c r="AB34" s="62"/>
      <c r="AC34" s="62"/>
      <c r="AD34" s="62"/>
      <c r="AE34" s="48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</row>
    <row r="35" spans="1:43" x14ac:dyDescent="0.2">
      <c r="A35" s="48"/>
      <c r="B35" s="116"/>
      <c r="C35" s="116"/>
      <c r="D35" s="116"/>
      <c r="E35" s="116"/>
      <c r="F35" s="116"/>
      <c r="G35" s="116"/>
      <c r="H35" s="116"/>
      <c r="I35" s="116"/>
      <c r="J35" s="116"/>
      <c r="K35" s="116"/>
      <c r="L35" s="116"/>
      <c r="M35" s="116"/>
      <c r="N35" s="116"/>
      <c r="O35" s="116"/>
      <c r="P35" s="116"/>
      <c r="Q35" s="134"/>
      <c r="R35" s="135"/>
      <c r="S35" s="136"/>
      <c r="T35" s="120"/>
      <c r="U35" s="121"/>
      <c r="V35" s="121"/>
      <c r="W35" s="62"/>
      <c r="X35" s="62"/>
      <c r="Y35" s="62"/>
      <c r="Z35" s="62"/>
      <c r="AA35" s="62"/>
      <c r="AB35" s="62"/>
      <c r="AC35" s="62"/>
      <c r="AD35" s="62"/>
      <c r="AE35" s="48"/>
      <c r="AF35" s="49"/>
      <c r="AG35" s="49"/>
      <c r="AH35" s="49"/>
      <c r="AI35" s="49"/>
      <c r="AJ35" s="49"/>
      <c r="AK35" s="49"/>
      <c r="AL35" s="49"/>
      <c r="AM35" s="49"/>
      <c r="AN35" s="49"/>
      <c r="AO35" s="49"/>
      <c r="AP35" s="49"/>
      <c r="AQ35" s="49"/>
    </row>
    <row r="36" spans="1:43" ht="15" x14ac:dyDescent="0.25">
      <c r="A36" s="48"/>
      <c r="B36" s="76"/>
      <c r="C36" s="76"/>
      <c r="D36" s="76"/>
      <c r="E36" s="76"/>
      <c r="F36" s="76"/>
      <c r="G36" s="76"/>
      <c r="H36" s="76"/>
      <c r="I36" s="76"/>
      <c r="J36" s="76"/>
      <c r="K36" s="76"/>
      <c r="L36" s="76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  <c r="Y36" s="76"/>
      <c r="Z36" s="76"/>
      <c r="AA36" s="76"/>
      <c r="AB36" s="76"/>
      <c r="AC36" s="76"/>
      <c r="AD36" s="76"/>
      <c r="AE36" s="48"/>
      <c r="AF36" s="49"/>
      <c r="AG36" s="49"/>
      <c r="AH36" s="49"/>
      <c r="AI36" s="49"/>
      <c r="AJ36" s="49"/>
      <c r="AK36" s="49"/>
      <c r="AL36" s="49"/>
      <c r="AM36" s="49"/>
      <c r="AN36" s="49"/>
      <c r="AO36" s="49"/>
      <c r="AP36" s="49"/>
      <c r="AQ36" s="49"/>
    </row>
    <row r="37" spans="1:43" x14ac:dyDescent="0.2">
      <c r="A37" s="48"/>
      <c r="B37" s="116" t="s">
        <v>211</v>
      </c>
      <c r="C37" s="116"/>
      <c r="D37" s="116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116"/>
      <c r="Q37" s="131" t="str">
        <f>IF(AND(Influent_Load_Expected&lt;&gt;"",BOD5_Discharged&lt;&gt;""),Influent_Load_Expected-BOD5_Discharged,"")</f>
        <v/>
      </c>
      <c r="R37" s="132"/>
      <c r="S37" s="133"/>
      <c r="T37" s="120" t="s">
        <v>197</v>
      </c>
      <c r="U37" s="121"/>
      <c r="V37" s="121"/>
      <c r="W37" s="62" t="s">
        <v>212</v>
      </c>
      <c r="X37" s="62"/>
      <c r="Y37" s="62"/>
      <c r="Z37" s="62"/>
      <c r="AA37" s="62"/>
      <c r="AB37" s="62"/>
      <c r="AC37" s="62"/>
      <c r="AD37" s="62"/>
      <c r="AE37" s="48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</row>
    <row r="38" spans="1:43" x14ac:dyDescent="0.2">
      <c r="A38" s="48"/>
      <c r="B38" s="116"/>
      <c r="C38" s="116"/>
      <c r="D38" s="116"/>
      <c r="E38" s="116"/>
      <c r="F38" s="116"/>
      <c r="G38" s="116"/>
      <c r="H38" s="116"/>
      <c r="I38" s="116"/>
      <c r="J38" s="116"/>
      <c r="K38" s="116"/>
      <c r="L38" s="116"/>
      <c r="M38" s="116"/>
      <c r="N38" s="116"/>
      <c r="O38" s="116"/>
      <c r="P38" s="116"/>
      <c r="Q38" s="134"/>
      <c r="R38" s="135"/>
      <c r="S38" s="136"/>
      <c r="T38" s="120"/>
      <c r="U38" s="121"/>
      <c r="V38" s="121"/>
      <c r="W38" s="62"/>
      <c r="X38" s="62"/>
      <c r="Y38" s="62"/>
      <c r="Z38" s="62"/>
      <c r="AA38" s="62"/>
      <c r="AB38" s="62"/>
      <c r="AC38" s="62"/>
      <c r="AD38" s="62"/>
      <c r="AE38" s="48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</row>
    <row r="39" spans="1:43" ht="15" x14ac:dyDescent="0.2">
      <c r="A39" s="48"/>
      <c r="B39" s="137"/>
      <c r="C39" s="137"/>
      <c r="D39" s="137"/>
      <c r="E39" s="137"/>
      <c r="F39" s="137"/>
      <c r="G39" s="137"/>
      <c r="H39" s="137"/>
      <c r="I39" s="137"/>
      <c r="J39" s="137"/>
      <c r="K39" s="137"/>
      <c r="L39" s="137"/>
      <c r="M39" s="137"/>
      <c r="N39" s="137"/>
      <c r="O39" s="137"/>
      <c r="P39" s="137"/>
      <c r="Q39" s="137"/>
      <c r="R39" s="137"/>
      <c r="S39" s="137"/>
      <c r="T39" s="137"/>
      <c r="U39" s="137"/>
      <c r="V39" s="137"/>
      <c r="W39" s="137"/>
      <c r="X39" s="137"/>
      <c r="Y39" s="137"/>
      <c r="Z39" s="137"/>
      <c r="AA39" s="137"/>
      <c r="AB39" s="137"/>
      <c r="AC39" s="137"/>
      <c r="AD39" s="137"/>
      <c r="AE39" s="48"/>
      <c r="AF39" s="49"/>
      <c r="AG39" s="49"/>
      <c r="AH39" s="49"/>
      <c r="AI39" s="49"/>
      <c r="AJ39" s="49"/>
      <c r="AK39" s="49"/>
      <c r="AL39" s="49"/>
      <c r="AM39" s="49"/>
      <c r="AN39" s="49"/>
      <c r="AO39" s="49"/>
      <c r="AP39" s="49"/>
      <c r="AQ39" s="49"/>
    </row>
    <row r="40" spans="1:43" ht="15" x14ac:dyDescent="0.25">
      <c r="A40" s="48"/>
      <c r="B40" s="66" t="s">
        <v>213</v>
      </c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147"/>
      <c r="R40" s="148"/>
      <c r="S40" s="149"/>
      <c r="T40" s="76" t="s">
        <v>214</v>
      </c>
      <c r="U40" s="76"/>
      <c r="V40" s="76"/>
      <c r="W40" s="76" t="s">
        <v>215</v>
      </c>
      <c r="X40" s="76"/>
      <c r="Y40" s="81" t="str">
        <f>IF(Q40&lt;&gt;"",Q40*2000,"")</f>
        <v/>
      </c>
      <c r="Z40" s="82"/>
      <c r="AA40" s="83"/>
      <c r="AB40" s="76" t="s">
        <v>216</v>
      </c>
      <c r="AC40" s="76"/>
      <c r="AD40" s="76"/>
      <c r="AE40" s="48"/>
      <c r="AF40" s="49"/>
      <c r="AG40" s="49"/>
      <c r="AH40" s="49"/>
      <c r="AI40" s="49"/>
      <c r="AJ40" s="49"/>
      <c r="AK40" s="49"/>
      <c r="AL40" s="49"/>
      <c r="AM40" s="49"/>
      <c r="AN40" s="49"/>
      <c r="AO40" s="49"/>
      <c r="AP40" s="49"/>
      <c r="AQ40" s="49"/>
    </row>
    <row r="41" spans="1:43" x14ac:dyDescent="0.2">
      <c r="A41" s="48"/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</row>
    <row r="42" spans="1:43" ht="15" x14ac:dyDescent="0.25">
      <c r="A42" s="48"/>
      <c r="B42" s="64" t="s">
        <v>217</v>
      </c>
      <c r="C42" s="64"/>
      <c r="D42" s="64"/>
      <c r="E42" s="64"/>
      <c r="F42" s="64"/>
      <c r="G42" s="64"/>
      <c r="H42" s="64"/>
      <c r="I42" s="64"/>
      <c r="J42" s="64"/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  <c r="AE42" s="48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</row>
    <row r="43" spans="1:43" x14ac:dyDescent="0.2">
      <c r="A43" s="48"/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</row>
    <row r="44" spans="1:43" ht="15" x14ac:dyDescent="0.25">
      <c r="A44" s="48"/>
      <c r="B44" s="61" t="s">
        <v>218</v>
      </c>
      <c r="C44" s="61"/>
      <c r="D44" s="61"/>
      <c r="E44" s="61"/>
      <c r="F44" s="61"/>
      <c r="G44" s="61"/>
      <c r="H44" s="61"/>
      <c r="I44" s="61"/>
      <c r="J44" s="61"/>
      <c r="K44" s="61"/>
      <c r="L44" s="61"/>
      <c r="M44" s="61"/>
      <c r="N44" s="61"/>
      <c r="O44" s="61"/>
      <c r="P44" s="65"/>
      <c r="Q44" s="61" t="s">
        <v>219</v>
      </c>
      <c r="R44" s="61"/>
      <c r="S44" s="61"/>
      <c r="T44" s="61"/>
      <c r="U44" s="61"/>
      <c r="V44" s="61"/>
      <c r="W44" s="61"/>
      <c r="X44" s="61"/>
      <c r="Y44" s="61"/>
      <c r="Z44" s="61"/>
      <c r="AA44" s="61"/>
      <c r="AB44" s="61"/>
      <c r="AC44" s="61"/>
      <c r="AD44" s="61"/>
      <c r="AE44" s="48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</row>
    <row r="45" spans="1:43" ht="15" x14ac:dyDescent="0.25">
      <c r="A45" s="48"/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65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48"/>
      <c r="AF45" s="49"/>
      <c r="AG45" s="49"/>
      <c r="AH45" s="49"/>
      <c r="AI45" s="49"/>
      <c r="AJ45" s="49"/>
      <c r="AK45" s="49"/>
      <c r="AL45" s="49"/>
      <c r="AM45" s="49"/>
      <c r="AN45" s="49"/>
      <c r="AO45" s="49"/>
      <c r="AP45" s="49"/>
      <c r="AQ45" s="49"/>
    </row>
    <row r="46" spans="1:43" ht="15" x14ac:dyDescent="0.25">
      <c r="A46" s="48"/>
      <c r="B46" s="66"/>
      <c r="C46" s="66"/>
      <c r="D46" s="67" t="str">
        <f>IF(Ch94BOD5Removed&lt;&gt;"",Ch94BOD5Removed,"")</f>
        <v/>
      </c>
      <c r="E46" s="68"/>
      <c r="F46" s="69"/>
      <c r="G46" s="70" t="s">
        <v>220</v>
      </c>
      <c r="H46" s="71"/>
      <c r="I46" s="71"/>
      <c r="J46" s="71"/>
      <c r="K46" s="71"/>
      <c r="L46" s="71"/>
      <c r="M46" s="71"/>
      <c r="N46" s="71"/>
      <c r="O46" s="71"/>
      <c r="P46" s="65"/>
      <c r="Q46" s="66"/>
      <c r="R46" s="66"/>
      <c r="S46" s="67" t="str">
        <f>IF(PopBOD5Removed&lt;&gt;"",PopBOD5Removed,"")</f>
        <v/>
      </c>
      <c r="T46" s="68"/>
      <c r="U46" s="69"/>
      <c r="V46" s="70" t="s">
        <v>220</v>
      </c>
      <c r="W46" s="71"/>
      <c r="X46" s="71"/>
      <c r="Y46" s="71"/>
      <c r="Z46" s="71"/>
      <c r="AA46" s="71"/>
      <c r="AB46" s="71"/>
      <c r="AC46" s="71"/>
      <c r="AD46" s="71"/>
      <c r="AE46" s="48"/>
      <c r="AF46" s="49"/>
      <c r="AG46" s="49"/>
      <c r="AH46" s="49"/>
      <c r="AI46" s="49"/>
      <c r="AJ46" s="49"/>
      <c r="AK46" s="49"/>
      <c r="AL46" s="49"/>
      <c r="AM46" s="49"/>
      <c r="AN46" s="49"/>
      <c r="AO46" s="49"/>
      <c r="AP46" s="49"/>
      <c r="AQ46" s="49"/>
    </row>
    <row r="47" spans="1:43" ht="15.75" thickBot="1" x14ac:dyDescent="0.3">
      <c r="A47" s="48"/>
      <c r="B47" s="66"/>
      <c r="C47" s="72" t="s">
        <v>221</v>
      </c>
      <c r="D47" s="73" t="str">
        <f>IF(Treatment_Factor&lt;&gt;"",Treatment_Factor,"")</f>
        <v/>
      </c>
      <c r="E47" s="74"/>
      <c r="F47" s="75"/>
      <c r="G47" s="70" t="s">
        <v>222</v>
      </c>
      <c r="H47" s="71"/>
      <c r="I47" s="71"/>
      <c r="J47" s="71"/>
      <c r="K47" s="71"/>
      <c r="L47" s="71"/>
      <c r="M47" s="71"/>
      <c r="N47" s="71"/>
      <c r="O47" s="71"/>
      <c r="P47" s="65"/>
      <c r="Q47" s="66"/>
      <c r="R47" s="72" t="s">
        <v>221</v>
      </c>
      <c r="S47" s="73" t="str">
        <f>IF(Treatment_Factor&lt;&gt;"",Treatment_Factor,"")</f>
        <v/>
      </c>
      <c r="T47" s="74"/>
      <c r="U47" s="75"/>
      <c r="V47" s="70" t="s">
        <v>222</v>
      </c>
      <c r="W47" s="71"/>
      <c r="X47" s="71"/>
      <c r="Y47" s="71"/>
      <c r="Z47" s="71"/>
      <c r="AA47" s="71"/>
      <c r="AB47" s="71"/>
      <c r="AC47" s="71"/>
      <c r="AD47" s="71"/>
      <c r="AE47" s="48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</row>
    <row r="48" spans="1:43" ht="9" customHeight="1" thickTop="1" x14ac:dyDescent="0.25">
      <c r="A48" s="48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65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48"/>
      <c r="AF48" s="49"/>
      <c r="AG48" s="49"/>
      <c r="AH48" s="49"/>
      <c r="AI48" s="49"/>
      <c r="AJ48" s="49"/>
      <c r="AK48" s="49"/>
      <c r="AL48" s="49"/>
      <c r="AM48" s="49"/>
      <c r="AN48" s="49"/>
      <c r="AO48" s="49"/>
      <c r="AP48" s="49"/>
      <c r="AQ48" s="49"/>
    </row>
    <row r="49" spans="1:43" ht="15" x14ac:dyDescent="0.25">
      <c r="A49" s="48"/>
      <c r="B49" s="66"/>
      <c r="C49" s="66"/>
      <c r="D49" s="77" t="str">
        <f>IF(AND(Ch94BOD5Removed&lt;&gt;"",Treatment_Factor&lt;&gt;""),Ch94BOD5Removed*Treatment_Factor,"")</f>
        <v/>
      </c>
      <c r="E49" s="78"/>
      <c r="F49" s="79"/>
      <c r="G49" s="80" t="s">
        <v>223</v>
      </c>
      <c r="H49" s="80"/>
      <c r="I49" s="80"/>
      <c r="J49" s="80"/>
      <c r="K49" s="80"/>
      <c r="L49" s="80"/>
      <c r="M49" s="80"/>
      <c r="N49" s="80"/>
      <c r="O49" s="80"/>
      <c r="P49" s="65"/>
      <c r="Q49" s="66"/>
      <c r="R49" s="66"/>
      <c r="S49" s="77" t="str">
        <f>IF(AND(PopBOD5Removed&lt;&gt;"",Treatment_Factor&lt;&gt;""),PopBOD5Removed*Treatment_Factor,"")</f>
        <v/>
      </c>
      <c r="T49" s="78"/>
      <c r="U49" s="79"/>
      <c r="V49" s="70" t="s">
        <v>223</v>
      </c>
      <c r="W49" s="71"/>
      <c r="X49" s="71"/>
      <c r="Y49" s="71"/>
      <c r="Z49" s="71"/>
      <c r="AA49" s="71"/>
      <c r="AB49" s="71"/>
      <c r="AC49" s="71"/>
      <c r="AD49" s="71"/>
      <c r="AE49" s="48"/>
      <c r="AF49" s="49"/>
      <c r="AG49" s="49"/>
      <c r="AH49" s="49"/>
      <c r="AI49" s="49"/>
      <c r="AJ49" s="49"/>
      <c r="AK49" s="49"/>
      <c r="AL49" s="49"/>
      <c r="AM49" s="49"/>
      <c r="AN49" s="49"/>
      <c r="AO49" s="49"/>
      <c r="AP49" s="49"/>
      <c r="AQ49" s="49"/>
    </row>
    <row r="50" spans="1:43" ht="15.75" thickBot="1" x14ac:dyDescent="0.3">
      <c r="A50" s="48"/>
      <c r="B50" s="66"/>
      <c r="C50" s="72" t="s">
        <v>221</v>
      </c>
      <c r="D50" s="73" t="str">
        <f>IF(Digestion_Factor&lt;&gt;"",Digestion_Factor,"")</f>
        <v/>
      </c>
      <c r="E50" s="74"/>
      <c r="F50" s="75"/>
      <c r="G50" s="80" t="s">
        <v>224</v>
      </c>
      <c r="H50" s="80"/>
      <c r="I50" s="80"/>
      <c r="J50" s="80"/>
      <c r="K50" s="80"/>
      <c r="L50" s="80"/>
      <c r="M50" s="80"/>
      <c r="N50" s="80"/>
      <c r="O50" s="80"/>
      <c r="P50" s="65"/>
      <c r="Q50" s="66"/>
      <c r="R50" s="72" t="s">
        <v>221</v>
      </c>
      <c r="S50" s="73" t="str">
        <f>IF(Digestion_Factor&lt;&gt;"",Digestion_Factor,"")</f>
        <v/>
      </c>
      <c r="T50" s="74"/>
      <c r="U50" s="75"/>
      <c r="V50" s="70" t="s">
        <v>224</v>
      </c>
      <c r="W50" s="80"/>
      <c r="X50" s="80"/>
      <c r="Y50" s="80"/>
      <c r="Z50" s="80"/>
      <c r="AA50" s="80"/>
      <c r="AB50" s="80"/>
      <c r="AC50" s="80"/>
      <c r="AD50" s="80"/>
      <c r="AE50" s="48"/>
      <c r="AF50" s="49"/>
      <c r="AG50" s="49"/>
      <c r="AH50" s="49"/>
      <c r="AI50" s="49"/>
      <c r="AJ50" s="49"/>
      <c r="AK50" s="49"/>
      <c r="AL50" s="49"/>
      <c r="AM50" s="49"/>
      <c r="AN50" s="49"/>
      <c r="AO50" s="49"/>
      <c r="AP50" s="49"/>
      <c r="AQ50" s="49"/>
    </row>
    <row r="51" spans="1:43" ht="15.75" thickTop="1" x14ac:dyDescent="0.25">
      <c r="A51" s="48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65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48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</row>
    <row r="52" spans="1:43" ht="15" x14ac:dyDescent="0.25">
      <c r="A52" s="48"/>
      <c r="B52" s="66"/>
      <c r="C52" s="66"/>
      <c r="D52" s="77" t="str">
        <f>IF(AND(Ch94DailySludge&lt;&gt;"",Digestion_Factor&lt;&gt;""),Ch94DailySludge*Digestion_Factor,"")</f>
        <v/>
      </c>
      <c r="E52" s="78"/>
      <c r="F52" s="79"/>
      <c r="G52" s="70" t="s">
        <v>225</v>
      </c>
      <c r="H52" s="80"/>
      <c r="I52" s="80"/>
      <c r="J52" s="80"/>
      <c r="K52" s="80"/>
      <c r="L52" s="80"/>
      <c r="M52" s="80"/>
      <c r="N52" s="80"/>
      <c r="O52" s="80"/>
      <c r="P52" s="65"/>
      <c r="Q52" s="66"/>
      <c r="R52" s="66"/>
      <c r="S52" s="77" t="str">
        <f>IF(AND(PopDailySludge&lt;&gt;"",Digestion_Factor&lt;&gt;""),PopDailySludge*Digestion_Factor,"")</f>
        <v/>
      </c>
      <c r="T52" s="78"/>
      <c r="U52" s="79"/>
      <c r="V52" s="70" t="s">
        <v>225</v>
      </c>
      <c r="W52" s="80"/>
      <c r="X52" s="80"/>
      <c r="Y52" s="80"/>
      <c r="Z52" s="80"/>
      <c r="AA52" s="80"/>
      <c r="AB52" s="80"/>
      <c r="AC52" s="80"/>
      <c r="AD52" s="80"/>
      <c r="AE52" s="48"/>
      <c r="AF52" s="49"/>
      <c r="AG52" s="49"/>
      <c r="AH52" s="49"/>
      <c r="AI52" s="49"/>
      <c r="AJ52" s="49"/>
      <c r="AK52" s="49"/>
      <c r="AL52" s="49"/>
      <c r="AM52" s="49"/>
      <c r="AN52" s="49"/>
      <c r="AO52" s="49"/>
      <c r="AP52" s="49"/>
      <c r="AQ52" s="49"/>
    </row>
    <row r="53" spans="1:43" ht="15.75" thickBot="1" x14ac:dyDescent="0.3">
      <c r="A53" s="48"/>
      <c r="B53" s="66"/>
      <c r="C53" s="72" t="s">
        <v>221</v>
      </c>
      <c r="D53" s="73">
        <v>365</v>
      </c>
      <c r="E53" s="74"/>
      <c r="F53" s="75"/>
      <c r="G53" s="70" t="s">
        <v>226</v>
      </c>
      <c r="H53" s="80"/>
      <c r="I53" s="80"/>
      <c r="J53" s="80"/>
      <c r="K53" s="80"/>
      <c r="L53" s="80"/>
      <c r="M53" s="80"/>
      <c r="N53" s="80"/>
      <c r="O53" s="80"/>
      <c r="P53" s="65"/>
      <c r="Q53" s="66"/>
      <c r="R53" s="72" t="s">
        <v>221</v>
      </c>
      <c r="S53" s="73">
        <v>365</v>
      </c>
      <c r="T53" s="74"/>
      <c r="U53" s="75"/>
      <c r="V53" s="70" t="s">
        <v>226</v>
      </c>
      <c r="W53" s="80"/>
      <c r="X53" s="80"/>
      <c r="Y53" s="80"/>
      <c r="Z53" s="80"/>
      <c r="AA53" s="80"/>
      <c r="AB53" s="80"/>
      <c r="AC53" s="80"/>
      <c r="AD53" s="80"/>
      <c r="AE53" s="48"/>
      <c r="AF53" s="49"/>
      <c r="AG53" s="49"/>
      <c r="AH53" s="49"/>
      <c r="AI53" s="49"/>
      <c r="AJ53" s="49"/>
      <c r="AK53" s="49"/>
      <c r="AL53" s="49"/>
      <c r="AM53" s="49"/>
      <c r="AN53" s="49"/>
      <c r="AO53" s="49"/>
      <c r="AP53" s="49"/>
      <c r="AQ53" s="49"/>
    </row>
    <row r="54" spans="1:43" ht="15.75" thickTop="1" x14ac:dyDescent="0.25">
      <c r="A54" s="48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65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48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</row>
    <row r="55" spans="1:43" ht="15" x14ac:dyDescent="0.25">
      <c r="A55" s="48"/>
      <c r="B55" s="66"/>
      <c r="C55" s="66"/>
      <c r="D55" s="81" t="str">
        <f>IF(Ch94DigestedSolids&lt;&gt;"",Ch94DigestedSolids*365,"")</f>
        <v/>
      </c>
      <c r="E55" s="82"/>
      <c r="F55" s="83"/>
      <c r="G55" s="80" t="s">
        <v>227</v>
      </c>
      <c r="H55" s="80"/>
      <c r="I55" s="80"/>
      <c r="J55" s="80"/>
      <c r="K55" s="80"/>
      <c r="L55" s="80"/>
      <c r="M55" s="80"/>
      <c r="N55" s="80"/>
      <c r="O55" s="80"/>
      <c r="P55" s="65"/>
      <c r="Q55" s="66"/>
      <c r="R55" s="66"/>
      <c r="S55" s="81" t="str">
        <f>IF(PopDigestedSolids&lt;&gt;"",PopDigestedSolids*365,"")</f>
        <v/>
      </c>
      <c r="T55" s="82"/>
      <c r="U55" s="83"/>
      <c r="V55" s="80" t="s">
        <v>227</v>
      </c>
      <c r="W55" s="80"/>
      <c r="X55" s="80"/>
      <c r="Y55" s="80"/>
      <c r="Z55" s="80"/>
      <c r="AA55" s="80"/>
      <c r="AB55" s="80"/>
      <c r="AC55" s="80"/>
      <c r="AD55" s="80"/>
      <c r="AE55" s="48"/>
      <c r="AF55" s="49"/>
      <c r="AG55" s="49"/>
      <c r="AH55" s="49"/>
      <c r="AI55" s="49"/>
      <c r="AJ55" s="49"/>
      <c r="AK55" s="49"/>
      <c r="AL55" s="49"/>
      <c r="AM55" s="49"/>
      <c r="AN55" s="49"/>
      <c r="AO55" s="49"/>
      <c r="AP55" s="49"/>
      <c r="AQ55" s="49"/>
    </row>
    <row r="56" spans="1:43" ht="15.75" thickBot="1" x14ac:dyDescent="0.3">
      <c r="A56" s="48"/>
      <c r="B56" s="66"/>
      <c r="C56" s="84" t="s">
        <v>228</v>
      </c>
      <c r="D56" s="85" t="str">
        <f>IF(DryPoundsRemoved&lt;&gt;"",DryPoundsRemoved,"")</f>
        <v/>
      </c>
      <c r="E56" s="86"/>
      <c r="F56" s="87"/>
      <c r="G56" s="80" t="s">
        <v>229</v>
      </c>
      <c r="H56" s="80"/>
      <c r="I56" s="80"/>
      <c r="J56" s="80"/>
      <c r="K56" s="80"/>
      <c r="L56" s="80"/>
      <c r="M56" s="80"/>
      <c r="N56" s="80"/>
      <c r="O56" s="80"/>
      <c r="P56" s="65"/>
      <c r="Q56" s="66"/>
      <c r="R56" s="66"/>
      <c r="S56" s="81" t="str">
        <f>IF(DryPoundsRemoved&lt;&gt;"",DryPoundsRemoved,"")</f>
        <v/>
      </c>
      <c r="T56" s="82"/>
      <c r="U56" s="83"/>
      <c r="V56" s="80" t="s">
        <v>229</v>
      </c>
      <c r="W56" s="80"/>
      <c r="X56" s="80"/>
      <c r="Y56" s="80"/>
      <c r="Z56" s="80"/>
      <c r="AA56" s="80"/>
      <c r="AB56" s="80"/>
      <c r="AC56" s="80"/>
      <c r="AD56" s="80"/>
      <c r="AE56" s="48"/>
      <c r="AF56" s="49"/>
      <c r="AG56" s="49"/>
      <c r="AH56" s="49"/>
      <c r="AI56" s="49"/>
      <c r="AJ56" s="49"/>
      <c r="AK56" s="49"/>
      <c r="AL56" s="49"/>
      <c r="AM56" s="49"/>
      <c r="AN56" s="49"/>
      <c r="AO56" s="49"/>
      <c r="AP56" s="49"/>
      <c r="AQ56" s="49"/>
    </row>
    <row r="57" spans="1:43" ht="15.75" thickTop="1" x14ac:dyDescent="0.25">
      <c r="A57" s="48"/>
      <c r="B57" s="66"/>
      <c r="C57" s="66"/>
      <c r="D57" s="88" t="str">
        <f>IF(AND(D55&lt;&gt;"",D56&lt;&gt;""),D55-D56,"")</f>
        <v/>
      </c>
      <c r="E57" s="88"/>
      <c r="F57" s="88"/>
      <c r="G57" s="80" t="s">
        <v>230</v>
      </c>
      <c r="H57" s="80"/>
      <c r="I57" s="80"/>
      <c r="J57" s="80"/>
      <c r="K57" s="80"/>
      <c r="L57" s="80"/>
      <c r="M57" s="80"/>
      <c r="N57" s="80"/>
      <c r="O57" s="80"/>
      <c r="P57" s="65"/>
      <c r="Q57" s="66"/>
      <c r="R57" s="66"/>
      <c r="S57" s="88" t="str">
        <f>IF(AND(S55&lt;&gt;"",S56&lt;&gt;""),S55-S56,"")</f>
        <v/>
      </c>
      <c r="T57" s="88"/>
      <c r="U57" s="88"/>
      <c r="V57" s="80" t="s">
        <v>230</v>
      </c>
      <c r="W57" s="80"/>
      <c r="X57" s="80"/>
      <c r="Y57" s="80"/>
      <c r="Z57" s="80"/>
      <c r="AA57" s="80"/>
      <c r="AB57" s="80"/>
      <c r="AC57" s="80"/>
      <c r="AD57" s="80"/>
      <c r="AE57" s="48"/>
      <c r="AF57" s="49"/>
      <c r="AG57" s="49"/>
      <c r="AH57" s="49"/>
      <c r="AI57" s="49"/>
      <c r="AJ57" s="49"/>
      <c r="AK57" s="49"/>
      <c r="AL57" s="49"/>
      <c r="AM57" s="49"/>
      <c r="AN57" s="49"/>
      <c r="AO57" s="49"/>
      <c r="AP57" s="49"/>
      <c r="AQ57" s="49"/>
    </row>
    <row r="58" spans="1:43" ht="9" customHeight="1" x14ac:dyDescent="0.25">
      <c r="A58" s="48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65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48"/>
      <c r="AF58" s="49"/>
      <c r="AG58" s="49"/>
      <c r="AH58" s="49"/>
      <c r="AI58" s="49"/>
      <c r="AJ58" s="49"/>
      <c r="AK58" s="49"/>
      <c r="AL58" s="49"/>
      <c r="AM58" s="49"/>
      <c r="AN58" s="49"/>
      <c r="AO58" s="49"/>
      <c r="AP58" s="49"/>
      <c r="AQ58" s="49"/>
    </row>
    <row r="59" spans="1:43" ht="15" x14ac:dyDescent="0.25">
      <c r="A59" s="48"/>
      <c r="B59" s="66"/>
      <c r="C59" s="66"/>
      <c r="D59" s="89" t="str">
        <f>IF(AND(D56&lt;&gt;"",D55&lt;&gt;""),D56/D55,"")</f>
        <v/>
      </c>
      <c r="E59" s="90"/>
      <c r="F59" s="91"/>
      <c r="G59" s="80" t="s">
        <v>231</v>
      </c>
      <c r="H59" s="80"/>
      <c r="I59" s="80"/>
      <c r="J59" s="80"/>
      <c r="K59" s="80"/>
      <c r="L59" s="80"/>
      <c r="M59" s="80"/>
      <c r="N59" s="80"/>
      <c r="O59" s="80"/>
      <c r="P59" s="65"/>
      <c r="Q59" s="66"/>
      <c r="R59" s="66"/>
      <c r="S59" s="89" t="str">
        <f>IF(AND(S56&lt;&gt;"",S55&lt;&gt;""),S56/S55,"")</f>
        <v/>
      </c>
      <c r="T59" s="90"/>
      <c r="U59" s="91"/>
      <c r="V59" s="80" t="s">
        <v>231</v>
      </c>
      <c r="W59" s="80"/>
      <c r="X59" s="80"/>
      <c r="Y59" s="80"/>
      <c r="Z59" s="80"/>
      <c r="AA59" s="80"/>
      <c r="AB59" s="80"/>
      <c r="AC59" s="80"/>
      <c r="AD59" s="80"/>
      <c r="AE59" s="48"/>
      <c r="AF59" s="49"/>
      <c r="AG59" s="49"/>
      <c r="AH59" s="49"/>
      <c r="AI59" s="49"/>
      <c r="AJ59" s="49"/>
      <c r="AK59" s="49"/>
      <c r="AL59" s="49"/>
      <c r="AM59" s="49"/>
      <c r="AN59" s="49"/>
      <c r="AO59" s="49"/>
      <c r="AP59" s="49"/>
      <c r="AQ59" s="49"/>
    </row>
    <row r="60" spans="1:43" ht="15" x14ac:dyDescent="0.25">
      <c r="A60" s="48"/>
      <c r="B60" s="66"/>
      <c r="C60" s="66"/>
      <c r="D60" s="66"/>
      <c r="E60" s="66"/>
      <c r="F60" s="66"/>
      <c r="G60" s="105" t="s">
        <v>239</v>
      </c>
      <c r="H60" s="105"/>
      <c r="I60" s="105"/>
      <c r="J60" s="105"/>
      <c r="K60" s="105"/>
      <c r="L60" s="105"/>
      <c r="M60" s="105"/>
      <c r="N60" s="105"/>
      <c r="O60" s="105"/>
      <c r="P60" s="51"/>
      <c r="Q60" s="66"/>
      <c r="R60" s="66"/>
      <c r="S60" s="66"/>
      <c r="T60" s="66"/>
      <c r="U60" s="66"/>
      <c r="V60" s="105" t="s">
        <v>239</v>
      </c>
      <c r="W60" s="105"/>
      <c r="X60" s="105"/>
      <c r="Y60" s="105"/>
      <c r="Z60" s="105"/>
      <c r="AA60" s="105"/>
      <c r="AB60" s="105"/>
      <c r="AC60" s="105"/>
      <c r="AD60" s="105"/>
      <c r="AE60" s="48"/>
      <c r="AF60" s="49"/>
      <c r="AG60" s="49"/>
      <c r="AH60" s="49"/>
      <c r="AI60" s="49"/>
      <c r="AJ60" s="49"/>
      <c r="AK60" s="49"/>
      <c r="AL60" s="49"/>
      <c r="AM60" s="49"/>
      <c r="AN60" s="49"/>
      <c r="AO60" s="49"/>
      <c r="AP60" s="49"/>
      <c r="AQ60" s="49"/>
    </row>
    <row r="61" spans="1:43" ht="9" customHeight="1" x14ac:dyDescent="0.25">
      <c r="A61" s="48"/>
      <c r="B61" s="66"/>
      <c r="C61" s="66"/>
      <c r="D61" s="66"/>
      <c r="E61" s="66"/>
      <c r="F61" s="66"/>
      <c r="G61" s="92"/>
      <c r="H61" s="92"/>
      <c r="I61" s="92"/>
      <c r="J61" s="92"/>
      <c r="K61" s="92"/>
      <c r="L61" s="92"/>
      <c r="M61" s="92"/>
      <c r="N61" s="92"/>
      <c r="O61" s="92"/>
      <c r="P61" s="51"/>
      <c r="Q61" s="66"/>
      <c r="R61" s="66"/>
      <c r="S61" s="66"/>
      <c r="T61" s="66"/>
      <c r="U61" s="66"/>
      <c r="V61" s="92"/>
      <c r="W61" s="92"/>
      <c r="X61" s="92"/>
      <c r="Y61" s="92"/>
      <c r="Z61" s="92"/>
      <c r="AA61" s="92"/>
      <c r="AB61" s="92"/>
      <c r="AC61" s="92"/>
      <c r="AD61" s="92"/>
      <c r="AE61" s="48"/>
      <c r="AF61" s="49"/>
      <c r="AG61" s="49"/>
      <c r="AH61" s="49"/>
      <c r="AI61" s="49"/>
      <c r="AJ61" s="49"/>
      <c r="AK61" s="49"/>
      <c r="AL61" s="49"/>
      <c r="AM61" s="49"/>
      <c r="AN61" s="49"/>
      <c r="AO61" s="49"/>
      <c r="AP61" s="49"/>
      <c r="AQ61" s="49"/>
    </row>
    <row r="62" spans="1:43" ht="15" x14ac:dyDescent="0.25">
      <c r="A62" s="48"/>
      <c r="B62" s="66"/>
      <c r="C62" s="66"/>
      <c r="D62" s="150"/>
      <c r="E62" s="151"/>
      <c r="F62" s="152"/>
      <c r="G62" s="93" t="s">
        <v>232</v>
      </c>
      <c r="H62" s="80"/>
      <c r="I62" s="80"/>
      <c r="J62" s="80"/>
      <c r="K62" s="80"/>
      <c r="L62" s="80"/>
      <c r="M62" s="80"/>
      <c r="N62" s="80"/>
      <c r="O62" s="80"/>
      <c r="P62" s="51"/>
      <c r="Q62" s="66"/>
      <c r="R62" s="66"/>
      <c r="S62" s="150" t="str">
        <f>IF(D62&lt;&gt;"",D62,"")</f>
        <v/>
      </c>
      <c r="T62" s="151"/>
      <c r="U62" s="152"/>
      <c r="V62" s="93" t="s">
        <v>233</v>
      </c>
      <c r="W62" s="80"/>
      <c r="X62" s="80"/>
      <c r="Y62" s="80"/>
      <c r="Z62" s="80"/>
      <c r="AA62" s="80"/>
      <c r="AB62" s="80"/>
      <c r="AC62" s="80"/>
      <c r="AD62" s="80"/>
      <c r="AE62" s="48"/>
      <c r="AF62" s="49"/>
      <c r="AG62" s="49"/>
      <c r="AH62" s="49"/>
      <c r="AI62" s="49"/>
      <c r="AJ62" s="49"/>
      <c r="AK62" s="49"/>
      <c r="AL62" s="49"/>
      <c r="AM62" s="49"/>
      <c r="AN62" s="49"/>
      <c r="AO62" s="49"/>
      <c r="AP62" s="49"/>
      <c r="AQ62" s="49"/>
    </row>
    <row r="63" spans="1:43" ht="9" customHeight="1" x14ac:dyDescent="0.25">
      <c r="A63" s="48"/>
      <c r="B63" s="76"/>
      <c r="C63" s="76"/>
      <c r="D63" s="76"/>
      <c r="E63" s="76"/>
      <c r="F63" s="76"/>
      <c r="G63" s="76"/>
      <c r="H63" s="76"/>
      <c r="I63" s="76"/>
      <c r="J63" s="76"/>
      <c r="K63" s="76"/>
      <c r="L63" s="76"/>
      <c r="M63" s="76"/>
      <c r="N63" s="76"/>
      <c r="O63" s="76"/>
      <c r="P63" s="51"/>
      <c r="Q63" s="76"/>
      <c r="R63" s="76"/>
      <c r="S63" s="76"/>
      <c r="T63" s="76"/>
      <c r="U63" s="76"/>
      <c r="V63" s="76"/>
      <c r="W63" s="76"/>
      <c r="X63" s="76"/>
      <c r="Y63" s="76"/>
      <c r="Z63" s="76"/>
      <c r="AA63" s="76"/>
      <c r="AB63" s="76"/>
      <c r="AC63" s="76"/>
      <c r="AD63" s="76"/>
      <c r="AE63" s="48"/>
      <c r="AF63" s="49"/>
      <c r="AG63" s="49"/>
      <c r="AH63" s="49"/>
      <c r="AI63" s="49"/>
      <c r="AJ63" s="49"/>
      <c r="AK63" s="49"/>
      <c r="AL63" s="49"/>
      <c r="AM63" s="49"/>
      <c r="AN63" s="49"/>
      <c r="AO63" s="49"/>
      <c r="AP63" s="49"/>
      <c r="AQ63" s="49"/>
    </row>
    <row r="64" spans="1:43" ht="15" x14ac:dyDescent="0.25">
      <c r="A64" s="48"/>
      <c r="B64" s="66"/>
      <c r="C64" s="66"/>
      <c r="D64" s="94" t="str">
        <f>IF(D55&lt;&gt;"",(D55/2000)/((D62*100)*0.0000417),"")</f>
        <v/>
      </c>
      <c r="E64" s="95"/>
      <c r="F64" s="96"/>
      <c r="G64" s="97" t="s">
        <v>234</v>
      </c>
      <c r="H64" s="97"/>
      <c r="I64" s="97"/>
      <c r="J64" s="97"/>
      <c r="K64" s="97"/>
      <c r="L64" s="97"/>
      <c r="M64" s="97"/>
      <c r="N64" s="97"/>
      <c r="O64" s="97"/>
      <c r="P64" s="51"/>
      <c r="Q64" s="66"/>
      <c r="R64" s="66"/>
      <c r="S64" s="94" t="str">
        <f>IF(S55&lt;&gt;"",(S55/2000)/((S62*100)*0.0000417),"")</f>
        <v/>
      </c>
      <c r="T64" s="95"/>
      <c r="U64" s="96"/>
      <c r="V64" s="97" t="s">
        <v>234</v>
      </c>
      <c r="W64" s="97"/>
      <c r="X64" s="97"/>
      <c r="Y64" s="97"/>
      <c r="Z64" s="97"/>
      <c r="AA64" s="97"/>
      <c r="AB64" s="97"/>
      <c r="AC64" s="97"/>
      <c r="AD64" s="97"/>
      <c r="AE64" s="48"/>
      <c r="AF64" s="49"/>
      <c r="AG64" s="49"/>
      <c r="AH64" s="49"/>
      <c r="AI64" s="49"/>
      <c r="AJ64" s="49"/>
      <c r="AK64" s="49"/>
      <c r="AL64" s="49"/>
      <c r="AM64" s="49"/>
      <c r="AN64" s="49"/>
      <c r="AO64" s="49"/>
      <c r="AP64" s="49"/>
      <c r="AQ64" s="49"/>
    </row>
    <row r="65" spans="1:43" ht="15" x14ac:dyDescent="0.25">
      <c r="A65" s="48"/>
      <c r="B65" s="66"/>
      <c r="C65" s="66"/>
      <c r="D65" s="98"/>
      <c r="E65" s="99"/>
      <c r="F65" s="100"/>
      <c r="G65" s="97"/>
      <c r="H65" s="97"/>
      <c r="I65" s="97"/>
      <c r="J65" s="97"/>
      <c r="K65" s="97"/>
      <c r="L65" s="97"/>
      <c r="M65" s="97"/>
      <c r="N65" s="97"/>
      <c r="O65" s="97"/>
      <c r="P65" s="51"/>
      <c r="Q65" s="66"/>
      <c r="R65" s="66"/>
      <c r="S65" s="98"/>
      <c r="T65" s="99"/>
      <c r="U65" s="100"/>
      <c r="V65" s="97"/>
      <c r="W65" s="97"/>
      <c r="X65" s="97"/>
      <c r="Y65" s="97"/>
      <c r="Z65" s="97"/>
      <c r="AA65" s="97"/>
      <c r="AB65" s="97"/>
      <c r="AC65" s="97"/>
      <c r="AD65" s="97"/>
      <c r="AE65" s="48"/>
      <c r="AF65" s="49"/>
      <c r="AG65" s="49"/>
      <c r="AH65" s="49"/>
      <c r="AI65" s="49"/>
      <c r="AJ65" s="49"/>
      <c r="AK65" s="49"/>
      <c r="AL65" s="49"/>
      <c r="AM65" s="49"/>
      <c r="AN65" s="49"/>
      <c r="AO65" s="49"/>
      <c r="AP65" s="49"/>
      <c r="AQ65" s="49"/>
    </row>
    <row r="66" spans="1:43" ht="15" x14ac:dyDescent="0.25">
      <c r="A66" s="48"/>
      <c r="B66" s="66"/>
      <c r="C66" s="101" t="s">
        <v>228</v>
      </c>
      <c r="D66" s="94" t="str">
        <f>IF(Q40&lt;&gt;"",Q40/((D62*100)*0.0000417),"")</f>
        <v/>
      </c>
      <c r="E66" s="95"/>
      <c r="F66" s="96"/>
      <c r="G66" s="97" t="s">
        <v>235</v>
      </c>
      <c r="H66" s="97"/>
      <c r="I66" s="97"/>
      <c r="J66" s="97"/>
      <c r="K66" s="97"/>
      <c r="L66" s="97"/>
      <c r="M66" s="97"/>
      <c r="N66" s="97"/>
      <c r="O66" s="97"/>
      <c r="P66" s="51"/>
      <c r="Q66" s="66"/>
      <c r="R66" s="101" t="s">
        <v>228</v>
      </c>
      <c r="S66" s="94" t="str">
        <f>IF(Q40&lt;&gt;"",Q40/((D62*100)*0.0000417),"")</f>
        <v/>
      </c>
      <c r="T66" s="95"/>
      <c r="U66" s="96"/>
      <c r="V66" s="97" t="s">
        <v>235</v>
      </c>
      <c r="W66" s="97"/>
      <c r="X66" s="97"/>
      <c r="Y66" s="97"/>
      <c r="Z66" s="97"/>
      <c r="AA66" s="97"/>
      <c r="AB66" s="97"/>
      <c r="AC66" s="97"/>
      <c r="AD66" s="97"/>
      <c r="AE66" s="48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</row>
    <row r="67" spans="1:43" ht="15.75" thickBot="1" x14ac:dyDescent="0.3">
      <c r="A67" s="48"/>
      <c r="B67" s="66"/>
      <c r="C67" s="101"/>
      <c r="D67" s="102"/>
      <c r="E67" s="103"/>
      <c r="F67" s="104"/>
      <c r="G67" s="97"/>
      <c r="H67" s="97"/>
      <c r="I67" s="97"/>
      <c r="J67" s="97"/>
      <c r="K67" s="97"/>
      <c r="L67" s="97"/>
      <c r="M67" s="97"/>
      <c r="N67" s="97"/>
      <c r="O67" s="97"/>
      <c r="P67" s="51"/>
      <c r="Q67" s="66"/>
      <c r="R67" s="101"/>
      <c r="S67" s="102"/>
      <c r="T67" s="103"/>
      <c r="U67" s="104"/>
      <c r="V67" s="97"/>
      <c r="W67" s="97"/>
      <c r="X67" s="97"/>
      <c r="Y67" s="97"/>
      <c r="Z67" s="97"/>
      <c r="AA67" s="97"/>
      <c r="AB67" s="97"/>
      <c r="AC67" s="97"/>
      <c r="AD67" s="97"/>
      <c r="AE67" s="48"/>
      <c r="AF67" s="49"/>
      <c r="AG67" s="49"/>
      <c r="AH67" s="49"/>
      <c r="AI67" s="49"/>
      <c r="AJ67" s="49"/>
      <c r="AK67" s="49"/>
      <c r="AL67" s="49"/>
      <c r="AM67" s="49"/>
      <c r="AN67" s="49"/>
      <c r="AO67" s="49"/>
      <c r="AP67" s="49"/>
      <c r="AQ67" s="49"/>
    </row>
    <row r="68" spans="1:43" ht="15.75" thickTop="1" x14ac:dyDescent="0.25">
      <c r="A68" s="48"/>
      <c r="B68" s="66"/>
      <c r="C68" s="66"/>
      <c r="D68" s="88" t="str">
        <f>IF(AND(D64&lt;&gt;"",D66&lt;&gt;""),D64-D66,"")</f>
        <v/>
      </c>
      <c r="E68" s="88"/>
      <c r="F68" s="88"/>
      <c r="G68" s="80" t="s">
        <v>236</v>
      </c>
      <c r="H68" s="80"/>
      <c r="I68" s="80"/>
      <c r="J68" s="80"/>
      <c r="K68" s="80"/>
      <c r="L68" s="80"/>
      <c r="M68" s="80"/>
      <c r="N68" s="80"/>
      <c r="O68" s="80"/>
      <c r="P68" s="51"/>
      <c r="Q68" s="66"/>
      <c r="R68" s="66"/>
      <c r="S68" s="88" t="str">
        <f>IF(AND(S64&lt;&gt;"",S66&lt;&gt;""),S64-S66,"")</f>
        <v/>
      </c>
      <c r="T68" s="88"/>
      <c r="U68" s="88"/>
      <c r="V68" s="80" t="s">
        <v>236</v>
      </c>
      <c r="W68" s="80"/>
      <c r="X68" s="80"/>
      <c r="Y68" s="80"/>
      <c r="Z68" s="80"/>
      <c r="AA68" s="80"/>
      <c r="AB68" s="80"/>
      <c r="AC68" s="80"/>
      <c r="AD68" s="80"/>
      <c r="AE68" s="48"/>
      <c r="AF68" s="49"/>
      <c r="AG68" s="49"/>
      <c r="AH68" s="49"/>
      <c r="AI68" s="49"/>
      <c r="AJ68" s="49"/>
      <c r="AK68" s="49"/>
      <c r="AL68" s="49"/>
      <c r="AM68" s="49"/>
      <c r="AN68" s="49"/>
      <c r="AO68" s="49"/>
      <c r="AP68" s="49"/>
      <c r="AQ68" s="49"/>
    </row>
    <row r="69" spans="1:43" x14ac:dyDescent="0.2">
      <c r="A69" s="48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48"/>
      <c r="AF69" s="49"/>
      <c r="AG69" s="49"/>
      <c r="AH69" s="49"/>
      <c r="AI69" s="49"/>
      <c r="AJ69" s="49"/>
      <c r="AK69" s="49"/>
      <c r="AL69" s="49"/>
      <c r="AM69" s="49"/>
      <c r="AN69" s="49"/>
      <c r="AO69" s="49"/>
      <c r="AP69" s="49"/>
      <c r="AQ69" s="49"/>
    </row>
  </sheetData>
  <sheetProtection password="CC39" sheet="1" objects="1" scenarios="1" selectLockedCells="1"/>
  <mergeCells count="163">
    <mergeCell ref="D68:F68"/>
    <mergeCell ref="G68:O68"/>
    <mergeCell ref="S68:U68"/>
    <mergeCell ref="V68:AD68"/>
    <mergeCell ref="B2:AD2"/>
    <mergeCell ref="B4:AD5"/>
    <mergeCell ref="G60:O60"/>
    <mergeCell ref="V60:AD60"/>
    <mergeCell ref="C66:C67"/>
    <mergeCell ref="D66:F67"/>
    <mergeCell ref="G66:O67"/>
    <mergeCell ref="R66:R67"/>
    <mergeCell ref="S66:U67"/>
    <mergeCell ref="V66:AD67"/>
    <mergeCell ref="B63:O63"/>
    <mergeCell ref="Q63:AD63"/>
    <mergeCell ref="D64:F65"/>
    <mergeCell ref="G64:O65"/>
    <mergeCell ref="S64:U65"/>
    <mergeCell ref="V64:AD65"/>
    <mergeCell ref="D62:F62"/>
    <mergeCell ref="G62:O62"/>
    <mergeCell ref="S62:U62"/>
    <mergeCell ref="V62:AD62"/>
    <mergeCell ref="B58:O58"/>
    <mergeCell ref="Q58:AD58"/>
    <mergeCell ref="D59:F59"/>
    <mergeCell ref="G59:O59"/>
    <mergeCell ref="S59:U59"/>
    <mergeCell ref="V59:AD59"/>
    <mergeCell ref="D56:F56"/>
    <mergeCell ref="G56:O56"/>
    <mergeCell ref="S56:U56"/>
    <mergeCell ref="V56:AD56"/>
    <mergeCell ref="D57:F57"/>
    <mergeCell ref="G57:O57"/>
    <mergeCell ref="S57:U57"/>
    <mergeCell ref="V57:AD57"/>
    <mergeCell ref="B54:O54"/>
    <mergeCell ref="Q54:AD54"/>
    <mergeCell ref="D55:F55"/>
    <mergeCell ref="G55:O55"/>
    <mergeCell ref="S55:U55"/>
    <mergeCell ref="V55:AD55"/>
    <mergeCell ref="D52:F52"/>
    <mergeCell ref="G52:O52"/>
    <mergeCell ref="S52:U52"/>
    <mergeCell ref="V52:AD52"/>
    <mergeCell ref="D53:F53"/>
    <mergeCell ref="G53:O53"/>
    <mergeCell ref="S53:U53"/>
    <mergeCell ref="V53:AD53"/>
    <mergeCell ref="D50:F50"/>
    <mergeCell ref="G50:O50"/>
    <mergeCell ref="S50:U50"/>
    <mergeCell ref="V50:AD50"/>
    <mergeCell ref="B51:O51"/>
    <mergeCell ref="Q51:AD51"/>
    <mergeCell ref="B48:O48"/>
    <mergeCell ref="Q48:AD48"/>
    <mergeCell ref="D49:F49"/>
    <mergeCell ref="G49:O49"/>
    <mergeCell ref="S49:U49"/>
    <mergeCell ref="V49:AD49"/>
    <mergeCell ref="D46:F46"/>
    <mergeCell ref="G46:O46"/>
    <mergeCell ref="S46:U46"/>
    <mergeCell ref="V46:AD46"/>
    <mergeCell ref="D47:F47"/>
    <mergeCell ref="G47:O47"/>
    <mergeCell ref="S47:U47"/>
    <mergeCell ref="V47:AD47"/>
    <mergeCell ref="B42:AD42"/>
    <mergeCell ref="B43:AD43"/>
    <mergeCell ref="B44:O44"/>
    <mergeCell ref="Q44:AD44"/>
    <mergeCell ref="B45:O45"/>
    <mergeCell ref="Q45:AD45"/>
    <mergeCell ref="Q40:S40"/>
    <mergeCell ref="T40:V40"/>
    <mergeCell ref="W40:X40"/>
    <mergeCell ref="Y40:AA40"/>
    <mergeCell ref="AB40:AD40"/>
    <mergeCell ref="B41:AD41"/>
    <mergeCell ref="B36:AD36"/>
    <mergeCell ref="B37:P38"/>
    <mergeCell ref="Q37:S38"/>
    <mergeCell ref="T37:V38"/>
    <mergeCell ref="W37:AD38"/>
    <mergeCell ref="B39:AD39"/>
    <mergeCell ref="B31:P32"/>
    <mergeCell ref="Q31:S32"/>
    <mergeCell ref="T31:AD32"/>
    <mergeCell ref="B33:AD33"/>
    <mergeCell ref="B34:P35"/>
    <mergeCell ref="Q34:S35"/>
    <mergeCell ref="T34:V35"/>
    <mergeCell ref="W34:AD35"/>
    <mergeCell ref="B27:AD27"/>
    <mergeCell ref="B28:P29"/>
    <mergeCell ref="Q28:S29"/>
    <mergeCell ref="T28:V29"/>
    <mergeCell ref="W28:AD29"/>
    <mergeCell ref="B30:AD30"/>
    <mergeCell ref="B25:AD25"/>
    <mergeCell ref="B26:L26"/>
    <mergeCell ref="M26:O26"/>
    <mergeCell ref="Q26:S26"/>
    <mergeCell ref="T26:U26"/>
    <mergeCell ref="V26:AD26"/>
    <mergeCell ref="B21:R21"/>
    <mergeCell ref="S21:V21"/>
    <mergeCell ref="W21:Y21"/>
    <mergeCell ref="Z21:AD21"/>
    <mergeCell ref="B22:AD22"/>
    <mergeCell ref="B23:R24"/>
    <mergeCell ref="S23:V24"/>
    <mergeCell ref="W23:AD24"/>
    <mergeCell ref="B18:AD18"/>
    <mergeCell ref="B19:R19"/>
    <mergeCell ref="S19:V19"/>
    <mergeCell ref="W19:Y19"/>
    <mergeCell ref="Z19:AD19"/>
    <mergeCell ref="B20:AD20"/>
    <mergeCell ref="B15:K15"/>
    <mergeCell ref="L15:V15"/>
    <mergeCell ref="X15:AB15"/>
    <mergeCell ref="AC15:AD15"/>
    <mergeCell ref="B16:AD16"/>
    <mergeCell ref="B17:L17"/>
    <mergeCell ref="M17:P17"/>
    <mergeCell ref="Q17:AD17"/>
    <mergeCell ref="B12:AD12"/>
    <mergeCell ref="B13:K13"/>
    <mergeCell ref="L13:V13"/>
    <mergeCell ref="X13:AB13"/>
    <mergeCell ref="AC13:AD13"/>
    <mergeCell ref="B14:AD14"/>
    <mergeCell ref="F11:H11"/>
    <mergeCell ref="I11:J11"/>
    <mergeCell ref="K11:Q11"/>
    <mergeCell ref="R11:Y11"/>
    <mergeCell ref="Z11:AB11"/>
    <mergeCell ref="AC11:AD11"/>
    <mergeCell ref="B9:F9"/>
    <mergeCell ref="G9:N9"/>
    <mergeCell ref="O9:T9"/>
    <mergeCell ref="U9:AB9"/>
    <mergeCell ref="AC9:AD9"/>
    <mergeCell ref="B10:AD10"/>
    <mergeCell ref="AC7:AD7"/>
    <mergeCell ref="B8:F8"/>
    <mergeCell ref="G8:N8"/>
    <mergeCell ref="O8:T8"/>
    <mergeCell ref="U8:AB8"/>
    <mergeCell ref="AC8:AD8"/>
    <mergeCell ref="A1:A69"/>
    <mergeCell ref="AE1:AE69"/>
    <mergeCell ref="B6:AD6"/>
    <mergeCell ref="B7:E7"/>
    <mergeCell ref="F7:P7"/>
    <mergeCell ref="R7:T7"/>
    <mergeCell ref="U7:AB7"/>
  </mergeCells>
  <conditionalFormatting sqref="S59">
    <cfRule type="cellIs" dxfId="14" priority="1" stopIfTrue="1" operator="greaterThan">
      <formula>1.15</formula>
    </cfRule>
    <cfRule type="cellIs" dxfId="13" priority="2" stopIfTrue="1" operator="between">
      <formula>0.85</formula>
      <formula>1.15</formula>
    </cfRule>
    <cfRule type="cellIs" dxfId="12" priority="3" stopIfTrue="1" operator="lessThan">
      <formula>0.85</formula>
    </cfRule>
  </conditionalFormatting>
  <conditionalFormatting sqref="D59">
    <cfRule type="cellIs" dxfId="11" priority="4" stopIfTrue="1" operator="greaterThan">
      <formula>1.15</formula>
    </cfRule>
    <cfRule type="cellIs" dxfId="10" priority="5" stopIfTrue="1" operator="lessThan">
      <formula>0.85</formula>
    </cfRule>
    <cfRule type="cellIs" dxfId="9" priority="6" stopIfTrue="1" operator="between">
      <formula>0.85</formula>
      <formula>1.15</formula>
    </cfRule>
  </conditionalFormatting>
  <dataValidations count="6">
    <dataValidation type="decimal" allowBlank="1" showInputMessage="1" showErrorMessage="1" sqref="D62:F62 S62:U62">
      <formula1>0.001</formula1>
      <formula2>100</formula2>
    </dataValidation>
    <dataValidation type="list" allowBlank="1" showInputMessage="1" showErrorMessage="1" sqref="L15:V15">
      <formula1>TypeofDigestion</formula1>
    </dataValidation>
    <dataValidation type="decimal" allowBlank="1" showInputMessage="1" showErrorMessage="1" sqref="Q40:S40">
      <formula1>1</formula1>
      <formula2>999999.99999</formula2>
    </dataValidation>
    <dataValidation type="list" allowBlank="1" showInputMessage="1" showErrorMessage="1" sqref="M26:O26">
      <formula1>BOD</formula1>
    </dataValidation>
    <dataValidation type="list" allowBlank="1" showInputMessage="1" showErrorMessage="1" sqref="L13:V13">
      <formula1>TypeofTreatment</formula1>
    </dataValidation>
    <dataValidation type="date" allowBlank="1" showInputMessage="1" showErrorMessage="1" sqref="G9:N9 U9:AB9">
      <formula1>29221</formula1>
      <formula2>73050</formula2>
    </dataValidation>
  </dataValidations>
  <printOptions horizontalCentered="1"/>
  <pageMargins left="0.25" right="0.25" top="0.25" bottom="0.25" header="0.25" footer="0.25"/>
  <pageSetup scale="73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A12E16C8-6F9A-4308-BC51-CE4FF991B28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28</vt:i4>
      </vt:variant>
    </vt:vector>
  </HeadingPairs>
  <TitlesOfParts>
    <vt:vector size="34" baseType="lpstr">
      <vt:lpstr>Unit Conversion</vt:lpstr>
      <vt:lpstr>Lookup</vt:lpstr>
      <vt:lpstr>SigFigures</vt:lpstr>
      <vt:lpstr>Treatment Efficiency</vt:lpstr>
      <vt:lpstr>F-M Ratio</vt:lpstr>
      <vt:lpstr>Sludge Generation</vt:lpstr>
      <vt:lpstr>Actual_Flow</vt:lpstr>
      <vt:lpstr>Area</vt:lpstr>
      <vt:lpstr>BOD_Conc</vt:lpstr>
      <vt:lpstr>BOD5_Discharged</vt:lpstr>
      <vt:lpstr>Ch94BOD5Removed</vt:lpstr>
      <vt:lpstr>Ch94DailySludge</vt:lpstr>
      <vt:lpstr>Ch94DigestedSolids</vt:lpstr>
      <vt:lpstr>Digestion_Factor</vt:lpstr>
      <vt:lpstr>DryPoundsRemoved</vt:lpstr>
      <vt:lpstr>Flow</vt:lpstr>
      <vt:lpstr>Influent_Load</vt:lpstr>
      <vt:lpstr>Influent_Load_Expected</vt:lpstr>
      <vt:lpstr>Length</vt:lpstr>
      <vt:lpstr>Mass</vt:lpstr>
      <vt:lpstr>PopBOD5Removed</vt:lpstr>
      <vt:lpstr>PopDailySludge</vt:lpstr>
      <vt:lpstr>PopDigestedSolids</vt:lpstr>
      <vt:lpstr>Population</vt:lpstr>
      <vt:lpstr>Power</vt:lpstr>
      <vt:lpstr>Pressure</vt:lpstr>
      <vt:lpstr>'Sludge Generation'!Print_Area</vt:lpstr>
      <vt:lpstr>Select_Type_of_Conversion</vt:lpstr>
      <vt:lpstr>Temperature</vt:lpstr>
      <vt:lpstr>Time</vt:lpstr>
      <vt:lpstr>Treatment_Factor</vt:lpstr>
      <vt:lpstr>TypeofDigestion</vt:lpstr>
      <vt:lpstr>TypeofTreatment</vt:lpstr>
      <vt:lpstr>Volume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Sean</dc:creator>
  <cp:lastModifiedBy>Sean Furjanic</cp:lastModifiedBy>
  <cp:lastPrinted>2014-11-18T16:48:26Z</cp:lastPrinted>
  <dcterms:created xsi:type="dcterms:W3CDTF">2014-03-01T18:20:28Z</dcterms:created>
  <dcterms:modified xsi:type="dcterms:W3CDTF">2014-11-18T16:53:11Z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TC039870599991</vt:lpwstr>
  </property>
</Properties>
</file>